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963C3011-AC43-4222-A599-27D9FD3519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4,26" sheetId="61" r:id="rId1"/>
  </sheets>
  <externalReferences>
    <externalReference r:id="rId2"/>
  </externalReferences>
  <definedNames>
    <definedName name="_xlnm.Print_Area" localSheetId="0">'T4,26'!$A$1:$BU$27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7" i="61" l="1"/>
  <c r="AZ27" i="61"/>
  <c r="BA27" i="61"/>
  <c r="BB27" i="61"/>
  <c r="BC27" i="61"/>
  <c r="BD27" i="61"/>
  <c r="BE27" i="61"/>
  <c r="BF27" i="61"/>
  <c r="BG27" i="61"/>
  <c r="BH27" i="61"/>
  <c r="BI27" i="61"/>
  <c r="BJ27" i="61"/>
  <c r="BK27" i="61"/>
  <c r="BL27" i="61"/>
  <c r="BM27" i="61"/>
  <c r="BO27" i="61"/>
  <c r="BP27" i="61"/>
  <c r="BR27" i="61"/>
  <c r="BS27" i="61"/>
  <c r="BT26" i="61"/>
  <c r="BT25" i="61"/>
  <c r="BT24" i="61"/>
  <c r="BT23" i="61"/>
  <c r="BT22" i="61"/>
  <c r="BT21" i="61"/>
  <c r="BT20" i="61"/>
  <c r="BT19" i="61"/>
  <c r="BT18" i="61"/>
  <c r="BT17" i="61"/>
  <c r="BT16" i="61"/>
  <c r="BT15" i="61"/>
  <c r="BT14" i="61"/>
  <c r="BT13" i="61"/>
  <c r="BT12" i="61"/>
  <c r="BT27" i="61" s="1"/>
  <c r="BT11" i="61"/>
  <c r="AV27" i="61"/>
  <c r="AU27" i="61"/>
  <c r="AT27" i="61"/>
  <c r="AS27" i="61"/>
  <c r="AQ27" i="61"/>
  <c r="AP27" i="61"/>
  <c r="AG27" i="61"/>
  <c r="R27" i="61"/>
  <c r="Q27" i="61"/>
  <c r="N27" i="61"/>
  <c r="H27" i="61"/>
  <c r="G27" i="61"/>
  <c r="F27" i="61"/>
  <c r="E27" i="61"/>
  <c r="D27" i="61"/>
  <c r="AO26" i="61"/>
  <c r="AN26" i="61"/>
  <c r="AM26" i="61"/>
  <c r="AL26" i="61"/>
  <c r="AJ26" i="61"/>
  <c r="AK26" i="61"/>
  <c r="AH26" i="61"/>
  <c r="AI26" i="61"/>
  <c r="AF26" i="61"/>
  <c r="AO25" i="61"/>
  <c r="AN25" i="61"/>
  <c r="AM25" i="61"/>
  <c r="AL25" i="61"/>
  <c r="AJ25" i="61"/>
  <c r="AK25" i="61"/>
  <c r="AH25" i="61"/>
  <c r="AI25" i="61"/>
  <c r="AF25" i="61"/>
  <c r="AD25" i="61"/>
  <c r="AE25" i="61"/>
  <c r="AO24" i="61"/>
  <c r="AN24" i="61"/>
  <c r="AM24" i="61"/>
  <c r="AL24" i="61"/>
  <c r="AJ24" i="61"/>
  <c r="AK24" i="61"/>
  <c r="AH24" i="61"/>
  <c r="AI24" i="61"/>
  <c r="AF24" i="61"/>
  <c r="AM23" i="61"/>
  <c r="AN23" i="61"/>
  <c r="AK23" i="61"/>
  <c r="AI23" i="61"/>
  <c r="AF23" i="61"/>
  <c r="AE23" i="61"/>
  <c r="AO22" i="61"/>
  <c r="AJ22" i="61"/>
  <c r="AN22" i="61"/>
  <c r="AK22" i="61"/>
  <c r="AH22" i="61"/>
  <c r="AI22" i="61"/>
  <c r="AF22" i="61"/>
  <c r="AD22" i="61"/>
  <c r="AJ21" i="61"/>
  <c r="AL21" i="61"/>
  <c r="AO21" i="61"/>
  <c r="AN21" i="61"/>
  <c r="AK21" i="61"/>
  <c r="AH21" i="61"/>
  <c r="AI21" i="61"/>
  <c r="AD21" i="61"/>
  <c r="AJ20" i="61"/>
  <c r="AM20" i="61"/>
  <c r="AO20" i="61"/>
  <c r="AK20" i="61"/>
  <c r="AH20" i="61"/>
  <c r="AI20" i="61"/>
  <c r="AF20" i="61"/>
  <c r="AE20" i="61"/>
  <c r="AO19" i="61"/>
  <c r="AJ19" i="61"/>
  <c r="AN19" i="61"/>
  <c r="AK19" i="61"/>
  <c r="AH19" i="61"/>
  <c r="AI19" i="61"/>
  <c r="AF19" i="61"/>
  <c r="AE19" i="61"/>
  <c r="AJ18" i="61"/>
  <c r="AN18" i="61"/>
  <c r="AH18" i="61"/>
  <c r="AI18" i="61"/>
  <c r="AF18" i="61"/>
  <c r="AR18" i="61"/>
  <c r="AJ17" i="61"/>
  <c r="AO17" i="61"/>
  <c r="AN17" i="61"/>
  <c r="AK17" i="61"/>
  <c r="AH17" i="61"/>
  <c r="AI17" i="61"/>
  <c r="AF17" i="61"/>
  <c r="AD17" i="61"/>
  <c r="AE17" i="61"/>
  <c r="AJ16" i="61"/>
  <c r="AI16" i="61"/>
  <c r="AO16" i="61"/>
  <c r="AK16" i="61"/>
  <c r="AH16" i="61"/>
  <c r="AF16" i="61"/>
  <c r="AE16" i="61"/>
  <c r="AO15" i="61"/>
  <c r="AN15" i="61"/>
  <c r="AM15" i="61"/>
  <c r="AK15" i="61"/>
  <c r="AJ15" i="61"/>
  <c r="AI15" i="61"/>
  <c r="AH15" i="61"/>
  <c r="AL15" i="61"/>
  <c r="AF15" i="61"/>
  <c r="AJ14" i="61"/>
  <c r="AE14" i="61"/>
  <c r="AO14" i="61"/>
  <c r="AN14" i="61"/>
  <c r="AK14" i="61"/>
  <c r="AH14" i="61"/>
  <c r="AI14" i="61"/>
  <c r="AF14" i="61"/>
  <c r="AD14" i="61"/>
  <c r="AJ13" i="61"/>
  <c r="AO13" i="61"/>
  <c r="AK13" i="61"/>
  <c r="AH13" i="61"/>
  <c r="AI13" i="61"/>
  <c r="AF13" i="61"/>
  <c r="AD13" i="61"/>
  <c r="AJ12" i="61"/>
  <c r="AO12" i="61"/>
  <c r="AH12" i="61"/>
  <c r="AI12" i="61"/>
  <c r="AF12" i="61"/>
  <c r="AD12" i="61"/>
  <c r="AE12" i="61"/>
  <c r="AO11" i="61"/>
  <c r="AN11" i="61"/>
  <c r="AM11" i="61"/>
  <c r="AL11" i="61"/>
  <c r="AK11" i="61"/>
  <c r="AJ11" i="61"/>
  <c r="AM13" i="61" l="1"/>
  <c r="AL14" i="61"/>
  <c r="AM18" i="61"/>
  <c r="AD20" i="61"/>
  <c r="AD23" i="61"/>
  <c r="O27" i="61"/>
  <c r="AD19" i="61"/>
  <c r="AM21" i="61"/>
  <c r="AC27" i="61"/>
  <c r="AM16" i="61"/>
  <c r="AL20" i="61"/>
  <c r="AM22" i="61"/>
  <c r="S27" i="61"/>
  <c r="AR19" i="61"/>
  <c r="AR24" i="61"/>
  <c r="AE11" i="61"/>
  <c r="AJ27" i="61"/>
  <c r="AD18" i="61"/>
  <c r="AE24" i="61"/>
  <c r="AD24" i="61"/>
  <c r="AE26" i="61"/>
  <c r="K27" i="61"/>
  <c r="AL12" i="61"/>
  <c r="AR16" i="61"/>
  <c r="AL17" i="61"/>
  <c r="AL18" i="61"/>
  <c r="AE21" i="61"/>
  <c r="AE22" i="61"/>
  <c r="AO18" i="61"/>
  <c r="AH27" i="61"/>
  <c r="AL19" i="61"/>
  <c r="AN20" i="61"/>
  <c r="AN12" i="61"/>
  <c r="AE18" i="61"/>
  <c r="L27" i="61"/>
  <c r="Y27" i="61"/>
  <c r="AL13" i="61"/>
  <c r="AN16" i="61"/>
  <c r="AM17" i="61"/>
  <c r="AD11" i="61"/>
  <c r="Z27" i="61"/>
  <c r="AM14" i="61"/>
  <c r="AL16" i="61"/>
  <c r="AK18" i="61"/>
  <c r="AM19" i="61"/>
  <c r="AR21" i="61"/>
  <c r="AO23" i="61"/>
  <c r="P27" i="61"/>
  <c r="AL22" i="61"/>
  <c r="AL23" i="61"/>
  <c r="AA27" i="61"/>
  <c r="AB27" i="61"/>
  <c r="AE13" i="61"/>
  <c r="T27" i="61"/>
  <c r="W27" i="61"/>
  <c r="U27" i="61"/>
  <c r="AR26" i="61"/>
  <c r="V27" i="61"/>
  <c r="AD15" i="61"/>
  <c r="AR25" i="61"/>
  <c r="AW25" i="61" s="1"/>
  <c r="AX25" i="61" s="1"/>
  <c r="BN25" i="61" s="1"/>
  <c r="BQ25" i="61" s="1"/>
  <c r="BU25" i="61" s="1"/>
  <c r="M27" i="61"/>
  <c r="I27" i="61"/>
  <c r="AK12" i="61"/>
  <c r="AM12" i="61"/>
  <c r="AE15" i="61"/>
  <c r="AD16" i="61"/>
  <c r="AR20" i="61"/>
  <c r="X27" i="61"/>
  <c r="AF21" i="61"/>
  <c r="AF27" i="61" s="1"/>
  <c r="J27" i="61"/>
  <c r="AN13" i="61"/>
  <c r="AI11" i="61"/>
  <c r="AI27" i="61" s="1"/>
  <c r="AD26" i="61"/>
  <c r="AW20" i="61" l="1"/>
  <c r="AX20" i="61" s="1"/>
  <c r="BN20" i="61" s="1"/>
  <c r="BQ20" i="61" s="1"/>
  <c r="BU20" i="61" s="1"/>
  <c r="AW17" i="61"/>
  <c r="AX17" i="61" s="1"/>
  <c r="BN17" i="61" s="1"/>
  <c r="BQ17" i="61" s="1"/>
  <c r="BU17" i="61" s="1"/>
  <c r="AW13" i="61"/>
  <c r="AX13" i="61" s="1"/>
  <c r="BN13" i="61" s="1"/>
  <c r="BQ13" i="61" s="1"/>
  <c r="BU13" i="61" s="1"/>
  <c r="AW23" i="61"/>
  <c r="AX23" i="61" s="1"/>
  <c r="BN23" i="61" s="1"/>
  <c r="BQ23" i="61" s="1"/>
  <c r="BU23" i="61" s="1"/>
  <c r="AK27" i="61"/>
  <c r="AL27" i="61"/>
  <c r="AO27" i="61"/>
  <c r="AW14" i="61"/>
  <c r="AX14" i="61" s="1"/>
  <c r="BN14" i="61" s="1"/>
  <c r="BQ14" i="61" s="1"/>
  <c r="BU14" i="61" s="1"/>
  <c r="AW19" i="61"/>
  <c r="AX19" i="61" s="1"/>
  <c r="BN19" i="61" s="1"/>
  <c r="BQ19" i="61" s="1"/>
  <c r="BU19" i="61" s="1"/>
  <c r="AW24" i="61"/>
  <c r="AX24" i="61" s="1"/>
  <c r="BN24" i="61" s="1"/>
  <c r="BQ24" i="61" s="1"/>
  <c r="BU24" i="61" s="1"/>
  <c r="AM27" i="61"/>
  <c r="AW18" i="61"/>
  <c r="AX18" i="61" s="1"/>
  <c r="BN18" i="61" s="1"/>
  <c r="BQ18" i="61" s="1"/>
  <c r="BU18" i="61" s="1"/>
  <c r="AW16" i="61"/>
  <c r="AX16" i="61" s="1"/>
  <c r="BN16" i="61" s="1"/>
  <c r="BQ16" i="61" s="1"/>
  <c r="BU16" i="61" s="1"/>
  <c r="AR27" i="61"/>
  <c r="AE27" i="61"/>
  <c r="AW11" i="61"/>
  <c r="AW22" i="61"/>
  <c r="AX22" i="61" s="1"/>
  <c r="BN22" i="61" s="1"/>
  <c r="BQ22" i="61" s="1"/>
  <c r="BU22" i="61" s="1"/>
  <c r="AW12" i="61"/>
  <c r="AX12" i="61" s="1"/>
  <c r="BN12" i="61" s="1"/>
  <c r="BQ12" i="61" s="1"/>
  <c r="BU12" i="61" s="1"/>
  <c r="AW26" i="61"/>
  <c r="AW21" i="61"/>
  <c r="AX21" i="61" s="1"/>
  <c r="BN21" i="61" s="1"/>
  <c r="BQ21" i="61" s="1"/>
  <c r="BU21" i="61" s="1"/>
  <c r="AN27" i="61"/>
  <c r="AW15" i="61"/>
  <c r="AX15" i="61" s="1"/>
  <c r="BN15" i="61" s="1"/>
  <c r="BQ15" i="61" s="1"/>
  <c r="BU15" i="61" s="1"/>
  <c r="AD27" i="61"/>
  <c r="AX26" i="61" l="1"/>
  <c r="BN26" i="61" s="1"/>
  <c r="BQ26" i="61" s="1"/>
  <c r="BU26" i="61" s="1"/>
  <c r="AX11" i="61"/>
  <c r="AX27" i="61" s="1"/>
  <c r="AW27" i="61"/>
  <c r="BN11" i="61" l="1"/>
  <c r="BN27" i="61" s="1"/>
  <c r="BN28" i="61" s="1"/>
  <c r="BQ11" i="61" l="1"/>
  <c r="BQ27" i="61" s="1"/>
  <c r="BQ29" i="61" l="1"/>
  <c r="BU11" i="61"/>
  <c r="BU27" i="61" s="1"/>
  <c r="BU29" i="6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48773C9D-F4DC-4CE0-8500-BB4E17760B94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97D16979-28E5-4B46-AEF5-BD2344F5478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EDFE42CE-A0F9-47A1-BF6D-536EF2C61A9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AW6" authorId="0" shapeId="0" xr:uid="{4C4FABF9-212E-4069-A60F-B8F37A95D92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AP7" authorId="0" shapeId="0" xr:uid="{8AEE125B-A49F-4BA6-B565-66C8497A7C2D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này( không giảm trừ )</t>
        </r>
      </text>
    </comment>
    <comment ref="AD8" authorId="0" shapeId="0" xr:uid="{D5205CDD-8EC7-4193-931F-3FC24A244A9F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tháng 12 không tạm trả( đủ 100%)</t>
        </r>
      </text>
    </comment>
    <comment ref="AG8" authorId="0" shapeId="0" xr:uid="{C2779673-7A7F-4A8F-856D-E1AD07B5D35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03không làm BSTN</t>
        </r>
      </text>
    </comment>
    <comment ref="AI8" authorId="0" shapeId="0" xr:uid="{AF3AE3A2-D795-41FC-9679-5B3FD01314E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K8" authorId="0" shapeId="0" xr:uid="{95187C86-AEE4-44D0-A0E6-0FB2A1E41E9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Từ T4/2025</t>
        </r>
      </text>
    </comment>
    <comment ref="A10" authorId="0" shapeId="0" xr:uid="{6B6A5738-AD68-4450-BDE2-593CDC689D77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B10" authorId="0" shapeId="0" xr:uid="{650CCFE9-7184-4090-B3C7-1C1EC562E422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C10" authorId="0" shapeId="0" xr:uid="{C8E14C36-3BB5-436F-A9C3-FF3F55D377B4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AE11" authorId="0" shapeId="0" xr:uid="{4DBCBD2F-C97B-478E-88A1-BF9D516D23F0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F11" authorId="0" shapeId="0" xr:uid="{8E1BEB00-2BC4-446A-B560-7DCDADAF2A7D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G12" authorId="0" shapeId="0" xr:uid="{684F196E-268C-4F6C-898B-86DBB90C6CA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O18" authorId="0" shapeId="0" xr:uid="{53BB2186-C207-42D9-9C62-ADC48D93ED45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2 công kiểm kể tính thêm giờ
</t>
        </r>
      </text>
    </comment>
    <comment ref="AP21" authorId="0" shapeId="0" xr:uid="{A2A7C862-9B63-43E2-A641-27363CF696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4" authorId="0" shapeId="0" xr:uid="{0F381C6C-23C8-4692-906A-8A0588F5E1F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sharedStrings.xml><?xml version="1.0" encoding="utf-8"?>
<sst xmlns="http://schemas.openxmlformats.org/spreadsheetml/2006/main" count="155" uniqueCount="115">
  <si>
    <t>TT</t>
  </si>
  <si>
    <t>Họ và tên</t>
  </si>
  <si>
    <t>Chức danh công việc</t>
  </si>
  <si>
    <t>Tiền lương chức danh công việc</t>
  </si>
  <si>
    <t>Các khoản phụ cấp</t>
  </si>
  <si>
    <t>Xếp loại LĐ</t>
  </si>
  <si>
    <t>Số công trong tháng hưởng lương</t>
  </si>
  <si>
    <t>Công trong tháng không hưởng lương</t>
  </si>
  <si>
    <t xml:space="preserve">Tiền lương cơ bản </t>
  </si>
  <si>
    <t>Tiền lương nghỉ lễ</t>
  </si>
  <si>
    <t>Họ và tên</t>
  </si>
  <si>
    <t>Công đi làm</t>
  </si>
  <si>
    <t>&lt;30 km</t>
  </si>
  <si>
    <t>≥30 km</t>
  </si>
  <si>
    <t>Công nghỉ việc riêng, tạm hoãn HĐ</t>
  </si>
  <si>
    <t>Mức lương</t>
  </si>
  <si>
    <t>Phụ cấp trách nhiệm</t>
  </si>
  <si>
    <t xml:space="preserve">Nguyễn Việt Hải </t>
  </si>
  <si>
    <t>A</t>
  </si>
  <si>
    <t>Tô Huy Lượng</t>
  </si>
  <si>
    <t>Vũ Thanh Thảo</t>
  </si>
  <si>
    <t>GV</t>
  </si>
  <si>
    <t>Dương Công Minh</t>
  </si>
  <si>
    <t>Đặng Văn Tuệ</t>
  </si>
  <si>
    <t>Nguyễn Duy Anh</t>
  </si>
  <si>
    <t>Lý Sinh Quý</t>
  </si>
  <si>
    <t>Tổng cộng</t>
  </si>
  <si>
    <t>Các khoản trừ</t>
  </si>
  <si>
    <t>Tiền còn lĩnh sau các khoản trừ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</si>
  <si>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</si>
  <si>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</si>
  <si>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</si>
  <si>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</si>
  <si>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</si>
  <si>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</si>
  <si>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Quỹ mái ấm công đoàn</t>
  </si>
  <si>
    <t>Trừ tiền  vay XN  TK 1388</t>
  </si>
  <si>
    <t xml:space="preserve">Trừ  tiền nhà ở, điện nước </t>
  </si>
  <si>
    <t>Trừ tiền nuôi con theo QĐ toàn án + Phí CT</t>
  </si>
  <si>
    <t>Cộng các khoản trừ</t>
  </si>
  <si>
    <t>Trần Trọng Lưu</t>
  </si>
  <si>
    <t>Bùi Thế Luyên</t>
  </si>
  <si>
    <t>Phó PH- TK</t>
  </si>
  <si>
    <t>Nguyễn Công San</t>
  </si>
  <si>
    <t>Hệ GDTX</t>
  </si>
  <si>
    <t>Nghề khác</t>
  </si>
  <si>
    <t>Điện thoại</t>
  </si>
  <si>
    <t>Tiền lương chất lượng công việc</t>
  </si>
  <si>
    <t>TT tổ ĐTBDSC</t>
  </si>
  <si>
    <t>Thạch Quang Nguyên</t>
  </si>
  <si>
    <t>Lê Công Hải</t>
  </si>
  <si>
    <t>CNSC</t>
  </si>
  <si>
    <t>Nguyễn Thị Thu Phương</t>
  </si>
  <si>
    <t>Nguyễn Hoàng Oanh</t>
  </si>
  <si>
    <t>Thực hiện cắt Polyp ở đợt khám sức khỏe</t>
  </si>
  <si>
    <t>Hà Thị Thanh Hoa</t>
  </si>
  <si>
    <t>Tham quan Hồng Kông đoàn 1</t>
  </si>
  <si>
    <t>Nhóm 1</t>
  </si>
  <si>
    <t>Tiền lương sửa chữa, Làm thêm giờ</t>
  </si>
  <si>
    <t>Trừ thuế TNCN T12-2024</t>
  </si>
  <si>
    <t>Trừ thuế TNCN T1-2025</t>
  </si>
  <si>
    <t xml:space="preserve">   TRƯỜNG CAO ĐẲNG THAN - KHOÁNG SẢN VIỆT NAM</t>
  </si>
  <si>
    <t>KHOA CƠ KHÍ, VẬN HÀNH THIẾT BỊ MỎ, PHÂN HIỆU ĐÀO TẠO CẨM PHẢ</t>
  </si>
  <si>
    <t>Biểu 06</t>
  </si>
  <si>
    <t>TẬP ĐOÀN CÔNG NGHIỆP THAN - KHOÁNG SẢN VIỆT NAM</t>
  </si>
  <si>
    <t>Mức tiền lương cơ bản (đ/tháng)</t>
  </si>
  <si>
    <t>Tiền lương</t>
  </si>
  <si>
    <t>Công nghỉ lễ</t>
  </si>
  <si>
    <t>Công thử việc</t>
  </si>
  <si>
    <t>Lương phép, hè, học, BD, khác( hưởng lương BHXH)</t>
  </si>
  <si>
    <t>Lương thử việc</t>
  </si>
  <si>
    <t>PC Trách nhiệm</t>
  </si>
  <si>
    <t>PC giáo viên giỏi</t>
  </si>
  <si>
    <t>Khác, 
 / Truy lĩnh nâng lương chức danh T1/2025 (+)</t>
  </si>
  <si>
    <t>Công không hưởng lương; Công nghỉ hưởng BHXH</t>
  </si>
  <si>
    <t>Các phụ cấp</t>
  </si>
  <si>
    <t xml:space="preserve">Công khác (học, kiểm kê,..)hưởng thêm giờ </t>
  </si>
  <si>
    <t>Công s/c vượt, thêm giờ</t>
  </si>
  <si>
    <t>TBM CN ô tô-VHTB</t>
  </si>
  <si>
    <t>TBM CK-TK</t>
  </si>
  <si>
    <t>BHTT năm 2025</t>
  </si>
  <si>
    <t>Công hưởng lương chức danh ( học, họp, VN,)</t>
  </si>
  <si>
    <t>Tiền lương BSTN tạm trả</t>
  </si>
  <si>
    <t>Tiền lương chức danh khác</t>
  </si>
  <si>
    <t>Giảm trừ BSTN do xếp loại B,C</t>
  </si>
  <si>
    <t>Công khác (phép, học, họp, VN, BD, viêc riêng) hưởng lương BH</t>
  </si>
  <si>
    <t>Từ T1÷3/2025</t>
  </si>
  <si>
    <t>Trừ 0,5% ĐP công đoàn</t>
  </si>
  <si>
    <t>PC - ATV</t>
  </si>
  <si>
    <t>Tiền lương hưởng trong tháng</t>
  </si>
  <si>
    <t>(A)</t>
  </si>
  <si>
    <t>(B)</t>
  </si>
  <si>
    <t>(C)</t>
  </si>
  <si>
    <t>(3)</t>
  </si>
  <si>
    <t>Chu Hoàng Dương</t>
  </si>
  <si>
    <t>Tiền lương đóng BHXH năm 2026</t>
  </si>
  <si>
    <t>Năm 2025</t>
  </si>
  <si>
    <t>Lương vượt giờ  Từ T01/2026</t>
  </si>
  <si>
    <t>Lương vượt giờ  năm 2025</t>
  </si>
  <si>
    <t xml:space="preserve">Lương tuyển sinh Hệ A, ngắn hạn </t>
  </si>
  <si>
    <t xml:space="preserve">Lương Tuyển sinh Ngắn hạn </t>
  </si>
  <si>
    <t>Từ T1/2026</t>
  </si>
  <si>
    <r>
      <t xml:space="preserve">Từ </t>
    </r>
    <r>
      <rPr>
        <b/>
        <sz val="11"/>
        <color rgb="FFFF0000"/>
        <rFont val="Times New Roman"/>
        <family val="1"/>
      </rPr>
      <t>T1</t>
    </r>
    <r>
      <rPr>
        <b/>
        <sz val="11"/>
        <rFont val="Times New Roman"/>
        <family val="1"/>
      </rPr>
      <t>/2026</t>
    </r>
  </si>
  <si>
    <t>Đơn vị tính: Đồng</t>
  </si>
  <si>
    <t>(18=13+…17)</t>
  </si>
  <si>
    <t>GVBD</t>
  </si>
  <si>
    <t>Giờ vượt thanh toán tháng 4/2026</t>
  </si>
  <si>
    <t xml:space="preserve">                       BẢNG THANH TOÁN TIỀN LƯƠNG THÁNG 4/2026 </t>
  </si>
  <si>
    <t>Tiền lương được chi trong tháng</t>
  </si>
  <si>
    <t>BHTT năm 2026</t>
  </si>
  <si>
    <t>Trừ thuế TNCN T4.2026</t>
  </si>
  <si>
    <t>(27=19+...+26)</t>
  </si>
  <si>
    <t>(29=18-27+28)</t>
  </si>
  <si>
    <t>(34=29+31+33)</t>
  </si>
  <si>
    <t>Xét nghiệm sinh tiết + Cắt Polyp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</si>
</sst>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 * #,##0_ ;_ * \-#,##0_ ;_ * &quot;-&quot;??_ ;_ @_ "/>
    <numFmt numFmtId="166" formatCode="_ * #,##0.0_ ;_ * \-#,##0.0_ ;_ * &quot;-&quot;??_ ;_ @_ "/>
    <numFmt numFmtId="167" formatCode="_ * #,##0.00_ ;_ * \-#,##0.00_ ;_ * &quot;-&quot;??_ ;_ @_ "/>
    <numFmt numFmtId="168" formatCode="0.0%"/>
    <numFmt numFmtId="169" formatCode="_(* #,##0_);_(* \(#,##0\);_(* &quot;-&quot;??_);_(@_)"/>
    <numFmt numFmtId="170" formatCode="_(* #,##0.0_);_(* \(#,##0.0\);_(* &quot;-&quot;??_);_(@_)"/>
  </numFmts>
  <fonts count="4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1"/>
      <color indexed="8"/>
      <name val="Times New Roman"/>
      <family val="2"/>
    </font>
    <font>
      <sz val="10"/>
      <name val="Arial"/>
      <family val="2"/>
      <charset val="163"/>
    </font>
    <font>
      <sz val="11"/>
      <color indexed="8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</font>
    <font>
      <sz val="11"/>
      <color theme="1"/>
      <name val="Times New Roman"/>
      <family val="2"/>
      <charset val="163"/>
    </font>
    <font>
      <b/>
      <u/>
      <sz val="12"/>
      <name val="Times New Roman"/>
      <family val="1"/>
    </font>
    <font>
      <sz val="10"/>
      <name val=".VnTi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Times New Roman"/>
      <family val="1"/>
    </font>
    <font>
      <sz val="12"/>
      <color rgb="FF0000FF"/>
      <name val="Times New Roman"/>
      <family val="1"/>
    </font>
    <font>
      <b/>
      <sz val="9"/>
      <color indexed="81"/>
      <name val="Tahoma"/>
      <family val="2"/>
      <charset val="163"/>
    </font>
    <font>
      <sz val="12"/>
      <color rgb="FFFF0000"/>
      <name val="Times New Roman"/>
      <family val="1"/>
    </font>
    <font>
      <sz val="9"/>
      <color indexed="81"/>
      <name val="Tahoma"/>
      <family val="2"/>
      <charset val="163"/>
    </font>
    <font>
      <sz val="10"/>
      <color rgb="FFFF0000"/>
      <name val="Times New Roman"/>
      <family val="1"/>
    </font>
    <font>
      <sz val="14"/>
      <name val="Times New Roman"/>
      <family val="1"/>
    </font>
    <font>
      <b/>
      <sz val="12"/>
      <color rgb="FFFF0000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2"/>
      <scheme val="major"/>
    </font>
    <font>
      <sz val="12"/>
      <color rgb="FF0000FF"/>
      <name val="Cambria"/>
      <family val="1"/>
      <scheme val="major"/>
    </font>
    <font>
      <b/>
      <sz val="11"/>
      <color rgb="FFFF0000"/>
      <name val="Times New Roman"/>
      <family val="1"/>
    </font>
    <font>
      <b/>
      <sz val="12"/>
      <name val="Times New Roman"/>
      <family val="1"/>
      <charset val="163"/>
    </font>
    <font>
      <b/>
      <sz val="12"/>
      <name val="Cambria"/>
      <family val="1"/>
      <charset val="163"/>
      <scheme val="major"/>
    </font>
    <font>
      <b/>
      <sz val="11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0"/>
      <color rgb="FF0000FF"/>
      <name val="Times New Roman"/>
      <family val="1"/>
      <charset val="163"/>
    </font>
    <font>
      <b/>
      <sz val="11"/>
      <color rgb="FF0000FF"/>
      <name val="Times New Roman"/>
      <family val="1"/>
      <charset val="163"/>
    </font>
    <font>
      <sz val="14"/>
      <name val="Cambria"/>
      <family val="1"/>
      <scheme val="major"/>
    </font>
    <font>
      <sz val="12"/>
      <color theme="1"/>
      <name val="Times New Roman"/>
      <family val="1"/>
      <charset val="163"/>
    </font>
    <font>
      <b/>
      <u/>
      <sz val="12"/>
      <color rgb="FF0000FF"/>
      <name val="Times New Roman"/>
      <family val="1"/>
    </font>
    <font>
      <sz val="12"/>
      <color theme="1"/>
      <name val="Times New Roman"/>
      <family val="1"/>
    </font>
    <font>
      <sz val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">
    <xf numFmtId="0" fontId="0" fillId="0" borderId="0"/>
    <xf numFmtId="167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12" fillId="0" borderId="0"/>
    <xf numFmtId="0" fontId="11" fillId="0" borderId="0"/>
    <xf numFmtId="43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0" fontId="5" fillId="0" borderId="0"/>
    <xf numFmtId="0" fontId="15" fillId="0" borderId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6" fillId="0" borderId="0"/>
    <xf numFmtId="0" fontId="18" fillId="0" borderId="0">
      <alignment vertical="top"/>
    </xf>
    <xf numFmtId="0" fontId="18" fillId="0" borderId="0">
      <alignment vertical="top"/>
    </xf>
    <xf numFmtId="0" fontId="11" fillId="0" borderId="0"/>
    <xf numFmtId="0" fontId="18" fillId="0" borderId="0"/>
    <xf numFmtId="43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0" fillId="0" borderId="0">
      <alignment vertical="top"/>
    </xf>
  </cellStyleXfs>
  <cellXfs count="18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6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2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10" fillId="2" borderId="0" xfId="0" applyFont="1" applyFill="1" applyAlignment="1">
      <alignment vertical="center" shrinkToFit="1"/>
    </xf>
    <xf numFmtId="0" fontId="30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168" fontId="23" fillId="2" borderId="0" xfId="1" applyNumberFormat="1" applyFont="1" applyFill="1" applyAlignment="1">
      <alignment vertical="center"/>
    </xf>
    <xf numFmtId="165" fontId="23" fillId="2" borderId="0" xfId="0" applyNumberFormat="1" applyFont="1" applyFill="1" applyAlignment="1">
      <alignment vertical="center"/>
    </xf>
    <xf numFmtId="0" fontId="29" fillId="2" borderId="0" xfId="0" applyFont="1" applyFill="1"/>
    <xf numFmtId="0" fontId="28" fillId="2" borderId="0" xfId="0" applyFont="1" applyFill="1"/>
    <xf numFmtId="0" fontId="23" fillId="2" borderId="0" xfId="0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6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31" fillId="2" borderId="0" xfId="0" applyFont="1" applyFill="1" applyAlignment="1">
      <alignment vertical="center"/>
    </xf>
    <xf numFmtId="0" fontId="31" fillId="2" borderId="16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/>
    </xf>
    <xf numFmtId="0" fontId="31" fillId="2" borderId="18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31" fillId="2" borderId="0" xfId="0" applyFont="1" applyFill="1" applyAlignment="1">
      <alignment horizontal="center" vertical="center"/>
    </xf>
    <xf numFmtId="165" fontId="31" fillId="2" borderId="0" xfId="0" applyNumberFormat="1" applyFont="1" applyFill="1" applyAlignment="1">
      <alignment vertical="center"/>
    </xf>
    <xf numFmtId="166" fontId="31" fillId="2" borderId="0" xfId="0" applyNumberFormat="1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horizontal="right" vertical="center"/>
    </xf>
    <xf numFmtId="165" fontId="31" fillId="2" borderId="0" xfId="1" applyNumberFormat="1" applyFont="1" applyFill="1" applyAlignment="1">
      <alignment vertical="center"/>
    </xf>
    <xf numFmtId="165" fontId="31" fillId="2" borderId="0" xfId="1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165" fontId="2" fillId="2" borderId="5" xfId="6" applyNumberFormat="1" applyFont="1" applyFill="1" applyBorder="1" applyAlignment="1">
      <alignment vertical="center" shrinkToFit="1"/>
    </xf>
    <xf numFmtId="0" fontId="31" fillId="2" borderId="0" xfId="0" applyFont="1" applyFill="1"/>
    <xf numFmtId="165" fontId="2" fillId="2" borderId="5" xfId="1" applyNumberFormat="1" applyFont="1" applyFill="1" applyBorder="1" applyAlignment="1">
      <alignment vertical="center" shrinkToFit="1"/>
    </xf>
    <xf numFmtId="165" fontId="9" fillId="2" borderId="5" xfId="1" applyNumberFormat="1" applyFont="1" applyFill="1" applyBorder="1" applyAlignment="1">
      <alignment vertical="center" shrinkToFit="1"/>
    </xf>
    <xf numFmtId="169" fontId="10" fillId="2" borderId="6" xfId="1" applyNumberFormat="1" applyFont="1" applyFill="1" applyBorder="1" applyAlignment="1">
      <alignment vertical="center" shrinkToFit="1"/>
    </xf>
    <xf numFmtId="165" fontId="10" fillId="2" borderId="0" xfId="0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165" fontId="3" fillId="2" borderId="0" xfId="0" applyNumberFormat="1" applyFont="1" applyFill="1" applyAlignment="1">
      <alignment vertical="center" shrinkToFit="1"/>
    </xf>
    <xf numFmtId="0" fontId="36" fillId="2" borderId="0" xfId="0" applyFont="1" applyFill="1" applyAlignment="1">
      <alignment vertical="center"/>
    </xf>
    <xf numFmtId="0" fontId="35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0" fontId="42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9" fontId="23" fillId="2" borderId="0" xfId="1" applyNumberFormat="1" applyFont="1" applyFill="1" applyAlignment="1">
      <alignment horizontal="center" vertical="center"/>
    </xf>
    <xf numFmtId="0" fontId="4" fillId="2" borderId="0" xfId="0" applyFont="1" applyFill="1"/>
    <xf numFmtId="0" fontId="42" fillId="2" borderId="0" xfId="0" applyFont="1" applyFill="1"/>
    <xf numFmtId="165" fontId="26" fillId="2" borderId="5" xfId="1" applyNumberFormat="1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vertical="center"/>
    </xf>
    <xf numFmtId="165" fontId="2" fillId="2" borderId="7" xfId="6" applyNumberFormat="1" applyFont="1" applyFill="1" applyBorder="1" applyAlignment="1">
      <alignment vertical="center" shrinkToFit="1"/>
    </xf>
    <xf numFmtId="165" fontId="26" fillId="2" borderId="7" xfId="1" applyNumberFormat="1" applyFont="1" applyFill="1" applyBorder="1" applyAlignment="1">
      <alignment vertical="center" shrinkToFit="1"/>
    </xf>
    <xf numFmtId="165" fontId="2" fillId="2" borderId="7" xfId="1" applyNumberFormat="1" applyFont="1" applyFill="1" applyBorder="1" applyAlignment="1">
      <alignment vertical="center" shrinkToFit="1"/>
    </xf>
    <xf numFmtId="165" fontId="9" fillId="2" borderId="7" xfId="1" applyNumberFormat="1" applyFont="1" applyFill="1" applyBorder="1" applyAlignment="1">
      <alignment vertical="center" shrinkToFit="1"/>
    </xf>
    <xf numFmtId="0" fontId="2" fillId="2" borderId="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3" fontId="2" fillId="2" borderId="5" xfId="1" applyNumberFormat="1" applyFont="1" applyFill="1" applyBorder="1" applyAlignment="1">
      <alignment vertical="center" shrinkToFit="1"/>
    </xf>
    <xf numFmtId="3" fontId="2" fillId="2" borderId="5" xfId="2" applyNumberFormat="1" applyFont="1" applyFill="1" applyBorder="1" applyAlignment="1">
      <alignment horizontal="center" vertical="center" shrinkToFit="1"/>
    </xf>
    <xf numFmtId="165" fontId="2" fillId="2" borderId="5" xfId="7" applyNumberFormat="1" applyFont="1" applyFill="1" applyBorder="1" applyAlignment="1">
      <alignment horizontal="center" vertical="center" shrinkToFit="1"/>
    </xf>
    <xf numFmtId="165" fontId="2" fillId="2" borderId="5" xfId="3" applyNumberFormat="1" applyFont="1" applyFill="1" applyBorder="1" applyAlignment="1">
      <alignment horizontal="center" vertical="center" shrinkToFit="1"/>
    </xf>
    <xf numFmtId="165" fontId="2" fillId="2" borderId="5" xfId="3" applyNumberFormat="1" applyFont="1" applyFill="1" applyBorder="1" applyAlignment="1">
      <alignment vertical="center" shrinkToFit="1"/>
    </xf>
    <xf numFmtId="166" fontId="2" fillId="2" borderId="5" xfId="3" applyNumberFormat="1" applyFont="1" applyFill="1" applyBorder="1" applyAlignment="1">
      <alignment vertical="center" shrinkToFit="1"/>
    </xf>
    <xf numFmtId="170" fontId="2" fillId="2" borderId="5" xfId="1" applyNumberFormat="1" applyFont="1" applyFill="1" applyBorder="1" applyAlignment="1">
      <alignment vertical="center" shrinkToFit="1"/>
    </xf>
    <xf numFmtId="166" fontId="2" fillId="2" borderId="5" xfId="1" applyNumberFormat="1" applyFont="1" applyFill="1" applyBorder="1" applyAlignment="1">
      <alignment vertical="center" shrinkToFit="1"/>
    </xf>
    <xf numFmtId="3" fontId="2" fillId="2" borderId="5" xfId="0" applyNumberFormat="1" applyFont="1" applyFill="1" applyBorder="1" applyAlignment="1">
      <alignment horizontal="center" vertical="center" shrinkToFit="1"/>
    </xf>
    <xf numFmtId="169" fontId="24" fillId="2" borderId="5" xfId="1" applyNumberFormat="1" applyFont="1" applyFill="1" applyBorder="1" applyAlignment="1">
      <alignment vertical="center" shrinkToFit="1"/>
    </xf>
    <xf numFmtId="165" fontId="2" fillId="2" borderId="5" xfId="1" applyNumberFormat="1" applyFont="1" applyFill="1" applyBorder="1" applyAlignment="1" applyProtection="1">
      <alignment vertical="center" shrinkToFit="1"/>
    </xf>
    <xf numFmtId="169" fontId="2" fillId="2" borderId="5" xfId="6" applyNumberFormat="1" applyFont="1" applyFill="1" applyBorder="1" applyAlignment="1">
      <alignment vertical="center" shrinkToFit="1"/>
    </xf>
    <xf numFmtId="169" fontId="2" fillId="2" borderId="5" xfId="1" applyNumberFormat="1" applyFont="1" applyFill="1" applyBorder="1" applyAlignment="1">
      <alignment vertical="center" shrinkToFit="1"/>
    </xf>
    <xf numFmtId="169" fontId="2" fillId="2" borderId="5" xfId="1" applyNumberFormat="1" applyFont="1" applyFill="1" applyBorder="1" applyAlignment="1">
      <alignment horizontal="center" vertical="center" shrinkToFit="1"/>
    </xf>
    <xf numFmtId="165" fontId="9" fillId="2" borderId="5" xfId="0" applyNumberFormat="1" applyFont="1" applyFill="1" applyBorder="1" applyAlignment="1">
      <alignment horizontal="center" vertical="center" shrinkToFit="1"/>
    </xf>
    <xf numFmtId="43" fontId="2" fillId="2" borderId="5" xfId="1" applyNumberFormat="1" applyFont="1" applyFill="1" applyBorder="1" applyAlignment="1">
      <alignment vertical="center" shrinkToFit="1"/>
    </xf>
    <xf numFmtId="3" fontId="2" fillId="2" borderId="5" xfId="39" applyNumberFormat="1" applyFont="1" applyFill="1" applyBorder="1" applyAlignment="1">
      <alignment horizontal="right" vertical="center" shrinkToFit="1"/>
    </xf>
    <xf numFmtId="3" fontId="45" fillId="2" borderId="5" xfId="1" applyNumberFormat="1" applyFont="1" applyFill="1" applyBorder="1" applyAlignment="1">
      <alignment vertical="center" shrinkToFit="1"/>
    </xf>
    <xf numFmtId="165" fontId="45" fillId="2" borderId="5" xfId="3" applyNumberFormat="1" applyFont="1" applyFill="1" applyBorder="1" applyAlignment="1">
      <alignment horizontal="center" vertical="center" shrinkToFit="1"/>
    </xf>
    <xf numFmtId="165" fontId="2" fillId="2" borderId="5" xfId="1" applyNumberFormat="1" applyFont="1" applyFill="1" applyBorder="1" applyAlignment="1" applyProtection="1">
      <alignment horizontal="right" vertical="center" shrinkToFit="1"/>
    </xf>
    <xf numFmtId="165" fontId="16" fillId="2" borderId="5" xfId="1" applyNumberFormat="1" applyFont="1" applyFill="1" applyBorder="1" applyAlignment="1">
      <alignment horizontal="center" vertical="center" shrinkToFit="1"/>
    </xf>
    <xf numFmtId="165" fontId="16" fillId="2" borderId="5" xfId="0" applyNumberFormat="1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165" fontId="2" fillId="2" borderId="7" xfId="3" applyNumberFormat="1" applyFont="1" applyFill="1" applyBorder="1" applyAlignment="1">
      <alignment vertical="center" shrinkToFit="1"/>
    </xf>
    <xf numFmtId="165" fontId="2" fillId="2" borderId="7" xfId="7" applyNumberFormat="1" applyFont="1" applyFill="1" applyBorder="1" applyAlignment="1">
      <alignment horizontal="center" vertical="center" shrinkToFit="1"/>
    </xf>
    <xf numFmtId="3" fontId="2" fillId="2" borderId="7" xfId="2" applyNumberFormat="1" applyFont="1" applyFill="1" applyBorder="1" applyAlignment="1">
      <alignment horizontal="center" vertical="center" shrinkToFit="1"/>
    </xf>
    <xf numFmtId="165" fontId="2" fillId="2" borderId="7" xfId="3" applyNumberFormat="1" applyFont="1" applyFill="1" applyBorder="1" applyAlignment="1">
      <alignment horizontal="center" vertical="center" shrinkToFit="1"/>
    </xf>
    <xf numFmtId="43" fontId="2" fillId="2" borderId="7" xfId="1" applyNumberFormat="1" applyFont="1" applyFill="1" applyBorder="1" applyAlignment="1">
      <alignment vertical="center" shrinkToFit="1"/>
    </xf>
    <xf numFmtId="170" fontId="2" fillId="2" borderId="7" xfId="1" applyNumberFormat="1" applyFont="1" applyFill="1" applyBorder="1" applyAlignment="1">
      <alignment vertical="center" shrinkToFit="1"/>
    </xf>
    <xf numFmtId="166" fontId="2" fillId="2" borderId="7" xfId="3" applyNumberFormat="1" applyFont="1" applyFill="1" applyBorder="1" applyAlignment="1">
      <alignment vertical="center" shrinkToFit="1"/>
    </xf>
    <xf numFmtId="3" fontId="2" fillId="2" borderId="7" xfId="0" applyNumberFormat="1" applyFont="1" applyFill="1" applyBorder="1" applyAlignment="1">
      <alignment horizontal="center" vertical="center" shrinkToFit="1"/>
    </xf>
    <xf numFmtId="169" fontId="24" fillId="2" borderId="7" xfId="1" applyNumberFormat="1" applyFont="1" applyFill="1" applyBorder="1" applyAlignment="1">
      <alignment vertical="center" shrinkToFit="1"/>
    </xf>
    <xf numFmtId="165" fontId="2" fillId="2" borderId="7" xfId="1" applyNumberFormat="1" applyFont="1" applyFill="1" applyBorder="1" applyAlignment="1" applyProtection="1">
      <alignment vertical="center" shrinkToFit="1"/>
    </xf>
    <xf numFmtId="169" fontId="2" fillId="2" borderId="7" xfId="6" applyNumberFormat="1" applyFont="1" applyFill="1" applyBorder="1" applyAlignment="1">
      <alignment vertical="center" shrinkToFit="1"/>
    </xf>
    <xf numFmtId="165" fontId="2" fillId="2" borderId="7" xfId="1" applyNumberFormat="1" applyFont="1" applyFill="1" applyBorder="1" applyAlignment="1" applyProtection="1">
      <alignment horizontal="right" vertical="center" shrinkToFit="1"/>
    </xf>
    <xf numFmtId="165" fontId="16" fillId="2" borderId="7" xfId="0" applyNumberFormat="1" applyFont="1" applyFill="1" applyBorder="1" applyAlignment="1">
      <alignment horizontal="center" vertical="center" shrinkToFit="1"/>
    </xf>
    <xf numFmtId="165" fontId="9" fillId="2" borderId="7" xfId="0" applyNumberFormat="1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165" fontId="9" fillId="2" borderId="4" xfId="1" applyNumberFormat="1" applyFont="1" applyFill="1" applyBorder="1" applyAlignment="1">
      <alignment vertical="center" shrinkToFit="1"/>
    </xf>
    <xf numFmtId="166" fontId="9" fillId="2" borderId="4" xfId="1" applyNumberFormat="1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wrapText="1" shrinkToFit="1"/>
    </xf>
    <xf numFmtId="169" fontId="2" fillId="2" borderId="5" xfId="1" applyNumberFormat="1" applyFont="1" applyFill="1" applyBorder="1" applyAlignment="1">
      <alignment horizontal="right" vertical="center" shrinkToFit="1"/>
    </xf>
    <xf numFmtId="169" fontId="10" fillId="2" borderId="6" xfId="1" applyNumberFormat="1" applyFont="1" applyFill="1" applyBorder="1" applyAlignment="1">
      <alignment horizontal="center" vertical="center" wrapText="1"/>
    </xf>
    <xf numFmtId="169" fontId="10" fillId="2" borderId="6" xfId="1" applyNumberFormat="1" applyFont="1" applyFill="1" applyBorder="1" applyAlignment="1">
      <alignment vertical="center" wrapText="1"/>
    </xf>
    <xf numFmtId="169" fontId="10" fillId="2" borderId="6" xfId="1" applyNumberFormat="1" applyFont="1" applyFill="1" applyBorder="1" applyAlignment="1">
      <alignment horizontal="center" vertical="center" shrinkToFit="1"/>
    </xf>
    <xf numFmtId="169" fontId="10" fillId="2" borderId="6" xfId="1" quotePrefix="1" applyNumberFormat="1" applyFont="1" applyFill="1" applyBorder="1" applyAlignment="1">
      <alignment horizontal="center" vertical="center" shrinkToFit="1"/>
    </xf>
    <xf numFmtId="169" fontId="10" fillId="2" borderId="6" xfId="1" applyNumberFormat="1" applyFont="1" applyFill="1" applyBorder="1" applyAlignment="1">
      <alignment horizontal="center" shrinkToFit="1"/>
    </xf>
    <xf numFmtId="0" fontId="46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vertical="center"/>
    </xf>
    <xf numFmtId="165" fontId="9" fillId="2" borderId="6" xfId="1" applyNumberFormat="1" applyFont="1" applyFill="1" applyBorder="1" applyAlignment="1">
      <alignment horizontal="center" vertical="center" shrinkToFit="1"/>
    </xf>
    <xf numFmtId="165" fontId="9" fillId="2" borderId="5" xfId="1" applyNumberFormat="1" applyFont="1" applyFill="1" applyBorder="1" applyAlignment="1">
      <alignment horizontal="center" vertical="center" shrinkToFit="1"/>
    </xf>
    <xf numFmtId="165" fontId="9" fillId="2" borderId="21" xfId="1" applyNumberFormat="1" applyFont="1" applyFill="1" applyBorder="1" applyAlignment="1">
      <alignment horizontal="center" vertical="center" shrinkToFit="1"/>
    </xf>
    <xf numFmtId="165" fontId="9" fillId="2" borderId="6" xfId="1" applyNumberFormat="1" applyFont="1" applyFill="1" applyBorder="1" applyAlignment="1">
      <alignment horizontal="center" vertical="center" wrapText="1" shrinkToFit="1"/>
    </xf>
    <xf numFmtId="165" fontId="9" fillId="2" borderId="5" xfId="1" applyNumberFormat="1" applyFont="1" applyFill="1" applyBorder="1" applyAlignment="1">
      <alignment horizontal="center" vertical="center" wrapText="1" shrinkToFit="1"/>
    </xf>
    <xf numFmtId="165" fontId="9" fillId="2" borderId="21" xfId="1" applyNumberFormat="1" applyFont="1" applyFill="1" applyBorder="1" applyAlignment="1">
      <alignment horizontal="center" vertical="center" wrapText="1" shrinkToFi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shrinkToFi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textRotation="90" wrapText="1"/>
    </xf>
    <xf numFmtId="0" fontId="39" fillId="2" borderId="4" xfId="0" applyFont="1" applyFill="1" applyBorder="1" applyAlignment="1">
      <alignment horizontal="center" vertical="center" textRotation="90" wrapText="1"/>
    </xf>
    <xf numFmtId="0" fontId="35" fillId="2" borderId="2" xfId="2" applyFont="1" applyFill="1" applyBorder="1" applyAlignment="1">
      <alignment horizontal="center" vertical="center" wrapText="1"/>
    </xf>
    <xf numFmtId="0" fontId="35" fillId="2" borderId="4" xfId="2" applyFont="1" applyFill="1" applyBorder="1" applyAlignment="1">
      <alignment horizontal="center" vertical="center" wrapText="1"/>
    </xf>
    <xf numFmtId="0" fontId="39" fillId="2" borderId="2" xfId="2" applyFont="1" applyFill="1" applyBorder="1" applyAlignment="1">
      <alignment horizontal="center" vertical="center" wrapText="1"/>
    </xf>
    <xf numFmtId="0" fontId="39" fillId="2" borderId="4" xfId="2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textRotation="90" wrapText="1"/>
    </xf>
    <xf numFmtId="0" fontId="37" fillId="2" borderId="4" xfId="0" applyFont="1" applyFill="1" applyBorder="1" applyAlignment="1">
      <alignment horizontal="center" vertical="center" textRotation="90" wrapText="1"/>
    </xf>
    <xf numFmtId="0" fontId="39" fillId="2" borderId="8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166" fontId="37" fillId="2" borderId="8" xfId="0" applyNumberFormat="1" applyFont="1" applyFill="1" applyBorder="1" applyAlignment="1">
      <alignment horizontal="center" vertical="center" wrapText="1"/>
    </xf>
    <xf numFmtId="166" fontId="37" fillId="2" borderId="9" xfId="0" applyNumberFormat="1" applyFont="1" applyFill="1" applyBorder="1" applyAlignment="1">
      <alignment horizontal="center" vertical="center" wrapText="1"/>
    </xf>
    <xf numFmtId="166" fontId="37" fillId="2" borderId="10" xfId="0" applyNumberFormat="1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textRotation="90" wrapText="1"/>
    </xf>
    <xf numFmtId="0" fontId="38" fillId="2" borderId="4" xfId="0" applyFont="1" applyFill="1" applyBorder="1" applyAlignment="1">
      <alignment horizontal="center" vertical="center" textRotation="90" wrapText="1"/>
    </xf>
    <xf numFmtId="0" fontId="39" fillId="2" borderId="8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 wrapText="1"/>
    </xf>
  </cellXfs>
  <cellStyles count="40">
    <cellStyle name="Bình thường 6" xfId="5" xr:uid="{00000000-0005-0000-0000-000000000000}"/>
    <cellStyle name="Comma 10" xfId="38" xr:uid="{00000000-0005-0000-0000-000001000000}"/>
    <cellStyle name="Comma 11" xfId="6" xr:uid="{00000000-0005-0000-0000-000002000000}"/>
    <cellStyle name="Comma 2" xfId="1" xr:uid="{00000000-0005-0000-0000-000003000000}"/>
    <cellStyle name="Comma 2 2" xfId="3" xr:uid="{00000000-0005-0000-0000-000004000000}"/>
    <cellStyle name="Comma 2 2 2" xfId="7" xr:uid="{00000000-0005-0000-0000-000005000000}"/>
    <cellStyle name="Comma 2 2 2 2" xfId="8" xr:uid="{00000000-0005-0000-0000-000006000000}"/>
    <cellStyle name="Comma 2 2 2 2 2" xfId="31" xr:uid="{00000000-0005-0000-0000-000007000000}"/>
    <cellStyle name="Comma 2 2 2 3" xfId="30" xr:uid="{00000000-0005-0000-0000-000008000000}"/>
    <cellStyle name="Comma 2_Thanh toan coi cham thi thang 6 nam 2011" xfId="9" xr:uid="{00000000-0005-0000-0000-000009000000}"/>
    <cellStyle name="Comma 3" xfId="10" xr:uid="{00000000-0005-0000-0000-00000A000000}"/>
    <cellStyle name="Comma 3 2" xfId="11" xr:uid="{00000000-0005-0000-0000-00000B000000}"/>
    <cellStyle name="Comma 3 2 2" xfId="32" xr:uid="{00000000-0005-0000-0000-00000C000000}"/>
    <cellStyle name="Comma 4" xfId="12" xr:uid="{00000000-0005-0000-0000-00000D000000}"/>
    <cellStyle name="Comma 4 2" xfId="33" xr:uid="{00000000-0005-0000-0000-00000E000000}"/>
    <cellStyle name="Comma 5" xfId="29" xr:uid="{00000000-0005-0000-0000-00000F000000}"/>
    <cellStyle name="Comma 6" xfId="36" xr:uid="{00000000-0005-0000-0000-000010000000}"/>
    <cellStyle name="Comma 7" xfId="13" xr:uid="{00000000-0005-0000-0000-000011000000}"/>
    <cellStyle name="Comma 7 2" xfId="14" xr:uid="{00000000-0005-0000-0000-000012000000}"/>
    <cellStyle name="Comma 7 2 2" xfId="34" xr:uid="{00000000-0005-0000-0000-000013000000}"/>
    <cellStyle name="Comma 8" xfId="28" xr:uid="{00000000-0005-0000-0000-000014000000}"/>
    <cellStyle name="Comma 8 2" xfId="37" xr:uid="{00000000-0005-0000-0000-000015000000}"/>
    <cellStyle name="Comma 9" xfId="15" xr:uid="{00000000-0005-0000-0000-000016000000}"/>
    <cellStyle name="Comma 9 2" xfId="16" xr:uid="{00000000-0005-0000-0000-000017000000}"/>
    <cellStyle name="Comma 9 2 2" xfId="35" xr:uid="{00000000-0005-0000-0000-000018000000}"/>
    <cellStyle name="Normal" xfId="0" builtinId="0"/>
    <cellStyle name="Normal 101" xfId="26" xr:uid="{00000000-0005-0000-0000-00001A000000}"/>
    <cellStyle name="Normal 110" xfId="23" xr:uid="{00000000-0005-0000-0000-00001B000000}"/>
    <cellStyle name="Normal 114" xfId="27" xr:uid="{00000000-0005-0000-0000-00001C000000}"/>
    <cellStyle name="Normal 126" xfId="25" xr:uid="{00000000-0005-0000-0000-00001D000000}"/>
    <cellStyle name="Normal 13 2" xfId="24" xr:uid="{00000000-0005-0000-0000-00001E000000}"/>
    <cellStyle name="Normal 2" xfId="17" xr:uid="{00000000-0005-0000-0000-00001F000000}"/>
    <cellStyle name="Normal 3" xfId="2" xr:uid="{00000000-0005-0000-0000-000020000000}"/>
    <cellStyle name="Normal 4" xfId="18" xr:uid="{00000000-0005-0000-0000-000021000000}"/>
    <cellStyle name="Normal 41" xfId="22" xr:uid="{00000000-0005-0000-0000-000022000000}"/>
    <cellStyle name="Normal 5" xfId="19" xr:uid="{00000000-0005-0000-0000-000023000000}"/>
    <cellStyle name="Normal 59" xfId="21" xr:uid="{00000000-0005-0000-0000-000024000000}"/>
    <cellStyle name="Normal 6" xfId="4" xr:uid="{00000000-0005-0000-0000-000025000000}"/>
    <cellStyle name="Normal_CT HSSV - PHCP KK (OK)" xfId="39" xr:uid="{00000000-0005-0000-0000-000026000000}"/>
    <cellStyle name="Percent 3" xfId="20" xr:uid="{00000000-0005-0000-0000-00002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498764</xdr:colOff>
      <xdr:row>2</xdr:row>
      <xdr:rowOff>43543</xdr:rowOff>
    </xdr:from>
    <xdr:to>
      <xdr:col>4</xdr:col>
      <xdr:colOff>65314</xdr:colOff>
      <xdr:row>2</xdr:row>
      <xdr:rowOff>52450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10EA22-C94B-4F0E-BC46-7DA18786A12D}"/>
            </a:ext>
          </a:extLst>
        </xdr:cNvPr>
        <xdr:cNvCxnSpPr/>
      </xdr:nvCxnSpPr>
      <xdr:spPr>
        <a:xfrm flipV="1">
          <a:off x="864524" y="455023"/>
          <a:ext cx="3216530" cy="89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.%20T&#7892;NG%20H&#7906;P%20L&#431;&#416;NG%20N&#258;M%202025...xlsx" TargetMode="External"/><Relationship Id="rId2" Type="http://schemas.openxmlformats.org/officeDocument/2006/relationships/externalLinkPath" Target="file:///G:\My%20Drive\L&#431;&#416;NG%202025\L&#431;&#416;NG%20HC.%202025\1.%20T&#7892;NG%20H&#7906;P%20L&#431;&#416;NG%20N&#258;M%202025...xlsx" TargetMode="External"/><Relationship Id="rId1" Type="http://schemas.openxmlformats.org/officeDocument/2006/relationships/externalLinkPath" Target="/My%20Drive/L&#431;&#416;NG%202025/L&#431;&#416;NG%20HC.%202025/1.%20T&#7892;NG%20H&#7906;P%20L&#431;&#416;NG%20N&#258;M%202025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12.24-ok"/>
      <sheetName val="T01.25"/>
      <sheetName val="T01.25 (2)"/>
      <sheetName val="T02.25 "/>
      <sheetName val="T02.25."/>
      <sheetName val="T3.25"/>
      <sheetName val="T4.25 "/>
      <sheetName val="T4.25.1"/>
      <sheetName val="T5.25 "/>
      <sheetName val="T5.25  (2)"/>
      <sheetName val="T6.25"/>
      <sheetName val="T7.25 "/>
      <sheetName val="T8.25"/>
      <sheetName val="T9.25 (2)"/>
      <sheetName val="T9.25"/>
      <sheetName val="T10.25"/>
      <sheetName val="T11.25 "/>
      <sheetName val="T12.25"/>
      <sheetName val="T12.25 (mẫu mới)"/>
      <sheetName val="T01.26"/>
      <sheetName val="T4.26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0">
          <cell r="AU40">
            <v>23048700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16FF-8F58-4B46-BFBC-E7B731FE1E20}">
  <sheetPr>
    <pageSetUpPr fitToPage="1"/>
  </sheetPr>
  <dimension ref="A1:BV64"/>
  <sheetViews>
    <sheetView tabSelected="1" workbookViewId="0">
      <pane xSplit="3" ySplit="9" topLeftCell="AK22" activePane="bottomRight" state="frozen"/>
      <selection pane="topRight" activeCell="D1" sqref="D1"/>
      <selection pane="bottomLeft" activeCell="A11" sqref="A11"/>
      <selection pane="bottomRight" activeCell="BK7" sqref="BK7:BK9"/>
    </sheetView>
  </sheetViews>
  <sheetFormatPr defaultColWidth="5.7109375" defaultRowHeight="15.75" x14ac:dyDescent="0.25"/>
  <cols>
    <col min="1" max="1" width="5.28515625" style="32" customWidth="1"/>
    <col min="2" max="2" width="21.5703125" style="26" customWidth="1"/>
    <col min="3" max="3" width="10.28515625" style="26" customWidth="1"/>
    <col min="4" max="4" width="12.28515625" style="26" customWidth="1"/>
    <col min="5" max="5" width="10.7109375" style="26" customWidth="1"/>
    <col min="6" max="6" width="13.140625" style="26" customWidth="1"/>
    <col min="7" max="7" width="16.7109375" style="26" customWidth="1"/>
    <col min="8" max="8" width="10.140625" style="26" customWidth="1"/>
    <col min="9" max="9" width="6.140625" style="33" customWidth="1"/>
    <col min="10" max="10" width="6.7109375" style="32" customWidth="1"/>
    <col min="11" max="11" width="8.28515625" style="32" customWidth="1"/>
    <col min="12" max="12" width="11.5703125" style="32" hidden="1" customWidth="1"/>
    <col min="13" max="13" width="9.85546875" style="32" hidden="1" customWidth="1"/>
    <col min="14" max="14" width="8.140625" style="32" hidden="1" customWidth="1"/>
    <col min="15" max="15" width="7.42578125" style="32" hidden="1" customWidth="1"/>
    <col min="16" max="16" width="9.7109375" style="32" customWidth="1"/>
    <col min="17" max="18" width="16" style="32" hidden="1" customWidth="1"/>
    <col min="19" max="19" width="9.85546875" style="32" customWidth="1"/>
    <col min="20" max="20" width="8.42578125" style="34" hidden="1" customWidth="1"/>
    <col min="21" max="21" width="10.7109375" style="34" hidden="1" customWidth="1"/>
    <col min="22" max="22" width="7.28515625" style="34" hidden="1" customWidth="1"/>
    <col min="23" max="23" width="10.7109375" style="34" hidden="1" customWidth="1"/>
    <col min="24" max="24" width="8.28515625" style="34" customWidth="1"/>
    <col min="25" max="25" width="10.7109375" style="34" hidden="1" customWidth="1"/>
    <col min="26" max="26" width="9.28515625" style="34" customWidth="1"/>
    <col min="27" max="27" width="12.5703125" style="34" hidden="1" customWidth="1"/>
    <col min="28" max="28" width="8.28515625" style="34" customWidth="1"/>
    <col min="29" max="29" width="8.140625" style="34" customWidth="1"/>
    <col min="30" max="30" width="13.28515625" style="26" customWidth="1"/>
    <col min="31" max="31" width="12.28515625" style="26" customWidth="1"/>
    <col min="32" max="32" width="10.85546875" style="26" customWidth="1"/>
    <col min="33" max="34" width="16" style="26" hidden="1" customWidth="1"/>
    <col min="35" max="35" width="10.28515625" style="26" hidden="1" customWidth="1"/>
    <col min="36" max="36" width="15.5703125" style="26" hidden="1" customWidth="1"/>
    <col min="37" max="37" width="13.5703125" style="35" customWidth="1"/>
    <col min="38" max="38" width="11.28515625" style="26" customWidth="1"/>
    <col min="39" max="39" width="11.5703125" style="26" customWidth="1"/>
    <col min="40" max="40" width="11.5703125" style="26" hidden="1" customWidth="1"/>
    <col min="41" max="41" width="16" style="26" hidden="1" customWidth="1"/>
    <col min="42" max="42" width="12.140625" style="26" hidden="1" customWidth="1"/>
    <col min="43" max="43" width="10.7109375" style="36" customWidth="1"/>
    <col min="44" max="44" width="16" style="26" hidden="1" customWidth="1"/>
    <col min="45" max="45" width="14.7109375" style="26" hidden="1" customWidth="1"/>
    <col min="46" max="46" width="10.140625" style="26" hidden="1" customWidth="1"/>
    <col min="47" max="47" width="16" style="26" hidden="1" customWidth="1"/>
    <col min="48" max="48" width="11.7109375" style="26" hidden="1" customWidth="1"/>
    <col min="49" max="49" width="13.140625" style="32" customWidth="1"/>
    <col min="50" max="50" width="10.85546875" style="2" customWidth="1"/>
    <col min="51" max="51" width="10.5703125" style="2" customWidth="1"/>
    <col min="52" max="52" width="10" style="2" customWidth="1"/>
    <col min="53" max="53" width="10.28515625" style="2" customWidth="1"/>
    <col min="54" max="54" width="10" style="2" hidden="1" customWidth="1"/>
    <col min="55" max="55" width="12.28515625" style="2" hidden="1" customWidth="1"/>
    <col min="56" max="56" width="15" style="2" hidden="1" customWidth="1"/>
    <col min="57" max="57" width="10.85546875" style="2" hidden="1" customWidth="1"/>
    <col min="58" max="58" width="17.7109375" style="2" hidden="1" customWidth="1"/>
    <col min="59" max="59" width="11.7109375" style="2" hidden="1" customWidth="1"/>
    <col min="60" max="60" width="16.7109375" style="2" hidden="1" customWidth="1"/>
    <col min="61" max="61" width="10.85546875" style="2" hidden="1" customWidth="1"/>
    <col min="62" max="62" width="9.85546875" style="2" customWidth="1"/>
    <col min="63" max="63" width="11.42578125" style="2" customWidth="1"/>
    <col min="64" max="64" width="11.28515625" style="2" customWidth="1"/>
    <col min="65" max="66" width="10.85546875" style="2" customWidth="1"/>
    <col min="67" max="67" width="8.28515625" style="2" hidden="1" customWidth="1"/>
    <col min="68" max="68" width="10.42578125" style="2" customWidth="1"/>
    <col min="69" max="69" width="12.85546875" style="2" customWidth="1"/>
    <col min="70" max="70" width="10.7109375" style="2" customWidth="1"/>
    <col min="71" max="71" width="6.42578125" style="2" customWidth="1"/>
    <col min="72" max="72" width="11.140625" style="2" customWidth="1"/>
    <col min="73" max="73" width="14.140625" style="2" customWidth="1"/>
    <col min="74" max="16384" width="5.7109375" style="26"/>
  </cols>
  <sheetData>
    <row r="1" spans="1:74" x14ac:dyDescent="0.25">
      <c r="A1" s="3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10"/>
      <c r="T1" s="22"/>
      <c r="U1" s="22"/>
      <c r="V1" s="22"/>
      <c r="W1" s="22"/>
      <c r="X1" s="22"/>
      <c r="Y1" s="22"/>
      <c r="Z1" s="22"/>
      <c r="AA1" s="22"/>
      <c r="AB1" s="22"/>
      <c r="AC1" s="22"/>
      <c r="AD1" s="3"/>
      <c r="AE1" s="3"/>
      <c r="AF1" s="3"/>
      <c r="AG1" s="3"/>
      <c r="AH1" s="3"/>
      <c r="AI1" s="3"/>
      <c r="AJ1" s="3"/>
      <c r="AK1" s="56"/>
      <c r="AL1" s="3"/>
      <c r="AM1" s="3"/>
      <c r="AN1" s="3"/>
      <c r="AO1" s="3"/>
      <c r="AP1" s="3"/>
      <c r="AQ1" s="8"/>
      <c r="AR1" s="1"/>
      <c r="AS1" s="1"/>
      <c r="AT1" s="1"/>
      <c r="AU1" s="1"/>
      <c r="AV1" s="3"/>
      <c r="AW1" s="1"/>
      <c r="BT1" s="14" t="s">
        <v>63</v>
      </c>
      <c r="BU1" s="15"/>
    </row>
    <row r="2" spans="1:74" x14ac:dyDescent="0.25">
      <c r="A2" s="9" t="s">
        <v>61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0"/>
      <c r="S2" s="10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  <c r="AE2" s="24"/>
      <c r="AF2" s="24"/>
      <c r="AG2" s="24"/>
      <c r="AH2" s="24"/>
      <c r="AI2" s="24"/>
      <c r="AJ2" s="24"/>
      <c r="AK2" s="57"/>
      <c r="AL2" s="24"/>
      <c r="AM2" s="24"/>
      <c r="AN2" s="24"/>
      <c r="AO2" s="24"/>
      <c r="AP2" s="24"/>
      <c r="AQ2" s="25"/>
      <c r="AR2" s="10"/>
      <c r="AS2" s="10"/>
      <c r="AT2" s="10"/>
      <c r="AU2" s="10"/>
      <c r="AV2" s="3"/>
      <c r="AW2" s="1"/>
      <c r="BT2" s="15"/>
      <c r="BU2" s="15"/>
    </row>
    <row r="3" spans="1:74" s="61" customFormat="1" ht="34.9" customHeight="1" x14ac:dyDescent="0.3">
      <c r="A3" s="60" t="s">
        <v>107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39"/>
      <c r="AY3" s="39"/>
      <c r="AZ3" s="3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20"/>
      <c r="BT3" s="20"/>
      <c r="BU3" s="20"/>
      <c r="BV3" s="41"/>
    </row>
    <row r="4" spans="1:74" s="54" customFormat="1" ht="17.850000000000001" customHeight="1" x14ac:dyDescent="0.25">
      <c r="A4" s="11" t="s">
        <v>62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9"/>
      <c r="AY4" s="9"/>
      <c r="AZ4" s="9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5"/>
      <c r="BT4" s="14"/>
      <c r="BU4" s="15"/>
      <c r="BV4" s="26"/>
    </row>
    <row r="5" spans="1:74" ht="16.899999999999999" customHeight="1" x14ac:dyDescent="0.25">
      <c r="A5" s="58">
        <v>22</v>
      </c>
      <c r="B5" s="59">
        <v>0.85</v>
      </c>
      <c r="C5" s="17">
        <v>1</v>
      </c>
      <c r="D5" s="4"/>
      <c r="E5" s="4"/>
      <c r="F5" s="4"/>
      <c r="G5" s="4"/>
      <c r="H5" s="4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  <c r="AF5" s="6"/>
      <c r="AG5" s="18">
        <v>0.6</v>
      </c>
      <c r="AH5" s="6"/>
      <c r="AI5" s="6"/>
      <c r="AJ5" s="6"/>
      <c r="AK5" s="7"/>
      <c r="AL5" s="6"/>
      <c r="AM5" s="3"/>
      <c r="AN5" s="3"/>
      <c r="AO5" s="3"/>
      <c r="AP5" s="3"/>
      <c r="AQ5" s="8"/>
      <c r="AR5" s="3"/>
      <c r="AS5" s="3"/>
      <c r="AT5" s="3"/>
      <c r="AU5" s="3"/>
      <c r="AV5" s="3"/>
      <c r="AW5" s="1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55" t="s">
        <v>103</v>
      </c>
      <c r="BO5" s="3"/>
      <c r="BP5" s="3"/>
      <c r="BQ5" s="3"/>
      <c r="BR5" s="3"/>
      <c r="BS5" s="16"/>
      <c r="BT5" s="21">
        <v>33000</v>
      </c>
      <c r="BU5" s="16"/>
    </row>
    <row r="6" spans="1:74" s="48" customFormat="1" ht="42.75" customHeight="1" x14ac:dyDescent="0.25">
      <c r="A6" s="147" t="s">
        <v>0</v>
      </c>
      <c r="B6" s="147" t="s">
        <v>1</v>
      </c>
      <c r="C6" s="147" t="s">
        <v>2</v>
      </c>
      <c r="D6" s="147" t="s">
        <v>3</v>
      </c>
      <c r="E6" s="147" t="s">
        <v>4</v>
      </c>
      <c r="F6" s="147" t="s">
        <v>65</v>
      </c>
      <c r="G6" s="157" t="s">
        <v>95</v>
      </c>
      <c r="H6" s="159"/>
      <c r="I6" s="147" t="s">
        <v>5</v>
      </c>
      <c r="J6" s="157" t="s">
        <v>6</v>
      </c>
      <c r="K6" s="158"/>
      <c r="L6" s="158"/>
      <c r="M6" s="158"/>
      <c r="N6" s="158"/>
      <c r="O6" s="158"/>
      <c r="P6" s="158"/>
      <c r="Q6" s="159"/>
      <c r="R6" s="163" t="s">
        <v>7</v>
      </c>
      <c r="S6" s="164"/>
      <c r="T6" s="167" t="s">
        <v>106</v>
      </c>
      <c r="U6" s="168"/>
      <c r="V6" s="168"/>
      <c r="W6" s="168"/>
      <c r="X6" s="168"/>
      <c r="Y6" s="168"/>
      <c r="Z6" s="168"/>
      <c r="AA6" s="168"/>
      <c r="AB6" s="168"/>
      <c r="AC6" s="169"/>
      <c r="AD6" s="144" t="s">
        <v>89</v>
      </c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45"/>
      <c r="AW6" s="134" t="s">
        <v>108</v>
      </c>
      <c r="AX6" s="133" t="s">
        <v>27</v>
      </c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24" t="s">
        <v>88</v>
      </c>
      <c r="BP6" s="124" t="s">
        <v>88</v>
      </c>
      <c r="BQ6" s="127" t="s">
        <v>28</v>
      </c>
      <c r="BR6" s="124" t="s">
        <v>46</v>
      </c>
      <c r="BS6" s="127" t="s">
        <v>29</v>
      </c>
      <c r="BT6" s="124" t="s">
        <v>30</v>
      </c>
      <c r="BU6" s="127" t="s">
        <v>31</v>
      </c>
      <c r="BV6" s="26"/>
    </row>
    <row r="7" spans="1:74" s="48" customFormat="1" ht="22.35" customHeight="1" x14ac:dyDescent="0.25">
      <c r="A7" s="181"/>
      <c r="B7" s="181"/>
      <c r="C7" s="181"/>
      <c r="D7" s="181"/>
      <c r="E7" s="181"/>
      <c r="F7" s="181"/>
      <c r="G7" s="160"/>
      <c r="H7" s="162"/>
      <c r="I7" s="181"/>
      <c r="J7" s="160"/>
      <c r="K7" s="161"/>
      <c r="L7" s="161"/>
      <c r="M7" s="161"/>
      <c r="N7" s="161"/>
      <c r="O7" s="161"/>
      <c r="P7" s="161"/>
      <c r="Q7" s="162"/>
      <c r="R7" s="165"/>
      <c r="S7" s="166"/>
      <c r="T7" s="142" t="s">
        <v>96</v>
      </c>
      <c r="U7" s="171"/>
      <c r="V7" s="171"/>
      <c r="W7" s="143"/>
      <c r="X7" s="142" t="s">
        <v>102</v>
      </c>
      <c r="Y7" s="171"/>
      <c r="Z7" s="171"/>
      <c r="AA7" s="171"/>
      <c r="AB7" s="171"/>
      <c r="AC7" s="143"/>
      <c r="AD7" s="172" t="s">
        <v>66</v>
      </c>
      <c r="AE7" s="173"/>
      <c r="AF7" s="173"/>
      <c r="AG7" s="173"/>
      <c r="AH7" s="173"/>
      <c r="AI7" s="173"/>
      <c r="AJ7" s="173"/>
      <c r="AK7" s="173"/>
      <c r="AL7" s="173"/>
      <c r="AM7" s="173"/>
      <c r="AN7" s="174"/>
      <c r="AO7" s="49"/>
      <c r="AP7" s="175" t="s">
        <v>84</v>
      </c>
      <c r="AQ7" s="178" t="s">
        <v>75</v>
      </c>
      <c r="AR7" s="179"/>
      <c r="AS7" s="179"/>
      <c r="AT7" s="179"/>
      <c r="AU7" s="179"/>
      <c r="AV7" s="180"/>
      <c r="AW7" s="146"/>
      <c r="AX7" s="130" t="s">
        <v>87</v>
      </c>
      <c r="AY7" s="130" t="s">
        <v>32</v>
      </c>
      <c r="AZ7" s="130" t="s">
        <v>33</v>
      </c>
      <c r="BA7" s="130" t="s">
        <v>34</v>
      </c>
      <c r="BB7" s="130" t="s">
        <v>59</v>
      </c>
      <c r="BC7" s="130" t="s">
        <v>60</v>
      </c>
      <c r="BD7" s="130" t="s">
        <v>56</v>
      </c>
      <c r="BE7" s="130" t="s">
        <v>35</v>
      </c>
      <c r="BF7" s="130" t="s">
        <v>54</v>
      </c>
      <c r="BG7" s="130" t="s">
        <v>36</v>
      </c>
      <c r="BH7" s="130" t="s">
        <v>37</v>
      </c>
      <c r="BI7" s="130" t="s">
        <v>80</v>
      </c>
      <c r="BJ7" s="130" t="s">
        <v>38</v>
      </c>
      <c r="BK7" s="130" t="s">
        <v>114</v>
      </c>
      <c r="BL7" s="130" t="s">
        <v>109</v>
      </c>
      <c r="BM7" s="130" t="s">
        <v>110</v>
      </c>
      <c r="BN7" s="130" t="s">
        <v>39</v>
      </c>
      <c r="BO7" s="125"/>
      <c r="BP7" s="125"/>
      <c r="BQ7" s="128"/>
      <c r="BR7" s="125"/>
      <c r="BS7" s="128"/>
      <c r="BT7" s="125"/>
      <c r="BU7" s="128"/>
      <c r="BV7" s="26"/>
    </row>
    <row r="8" spans="1:74" s="48" customFormat="1" ht="47.65" customHeight="1" x14ac:dyDescent="0.25">
      <c r="A8" s="181"/>
      <c r="B8" s="181"/>
      <c r="C8" s="181"/>
      <c r="D8" s="181"/>
      <c r="E8" s="181"/>
      <c r="F8" s="181"/>
      <c r="G8" s="147" t="s">
        <v>15</v>
      </c>
      <c r="H8" s="147" t="s">
        <v>16</v>
      </c>
      <c r="I8" s="181"/>
      <c r="J8" s="147" t="s">
        <v>11</v>
      </c>
      <c r="K8" s="147" t="s">
        <v>67</v>
      </c>
      <c r="L8" s="176" t="s">
        <v>85</v>
      </c>
      <c r="M8" s="149" t="s">
        <v>81</v>
      </c>
      <c r="N8" s="147" t="s">
        <v>68</v>
      </c>
      <c r="O8" s="149" t="s">
        <v>76</v>
      </c>
      <c r="P8" s="151" t="s">
        <v>77</v>
      </c>
      <c r="Q8" s="152"/>
      <c r="R8" s="147" t="s">
        <v>14</v>
      </c>
      <c r="S8" s="136" t="s">
        <v>74</v>
      </c>
      <c r="T8" s="142" t="s">
        <v>44</v>
      </c>
      <c r="U8" s="143"/>
      <c r="V8" s="142" t="s">
        <v>45</v>
      </c>
      <c r="W8" s="143"/>
      <c r="X8" s="142" t="s">
        <v>57</v>
      </c>
      <c r="Y8" s="143"/>
      <c r="Z8" s="142" t="s">
        <v>44</v>
      </c>
      <c r="AA8" s="143"/>
      <c r="AB8" s="142" t="s">
        <v>45</v>
      </c>
      <c r="AC8" s="143"/>
      <c r="AD8" s="147" t="s">
        <v>8</v>
      </c>
      <c r="AE8" s="155" t="s">
        <v>47</v>
      </c>
      <c r="AF8" s="134" t="s">
        <v>9</v>
      </c>
      <c r="AG8" s="134" t="s">
        <v>82</v>
      </c>
      <c r="AH8" s="134" t="s">
        <v>83</v>
      </c>
      <c r="AI8" s="136" t="s">
        <v>69</v>
      </c>
      <c r="AJ8" s="134" t="s">
        <v>70</v>
      </c>
      <c r="AK8" s="153" t="s">
        <v>58</v>
      </c>
      <c r="AL8" s="142" t="s">
        <v>97</v>
      </c>
      <c r="AM8" s="143"/>
      <c r="AN8" s="144" t="s">
        <v>98</v>
      </c>
      <c r="AO8" s="145"/>
      <c r="AP8" s="175"/>
      <c r="AQ8" s="138" t="s">
        <v>71</v>
      </c>
      <c r="AR8" s="138" t="s">
        <v>72</v>
      </c>
      <c r="AS8" s="138" t="s">
        <v>99</v>
      </c>
      <c r="AT8" s="138" t="s">
        <v>100</v>
      </c>
      <c r="AU8" s="138" t="s">
        <v>73</v>
      </c>
      <c r="AV8" s="140"/>
      <c r="AW8" s="146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25"/>
      <c r="BP8" s="125"/>
      <c r="BQ8" s="128"/>
      <c r="BR8" s="125"/>
      <c r="BS8" s="128"/>
      <c r="BT8" s="125"/>
      <c r="BU8" s="128"/>
      <c r="BV8" s="26"/>
    </row>
    <row r="9" spans="1:74" s="48" customFormat="1" ht="35.450000000000003" customHeight="1" x14ac:dyDescent="0.25">
      <c r="A9" s="148"/>
      <c r="B9" s="148" t="s">
        <v>10</v>
      </c>
      <c r="C9" s="148" t="s">
        <v>10</v>
      </c>
      <c r="D9" s="148"/>
      <c r="E9" s="148"/>
      <c r="F9" s="148"/>
      <c r="G9" s="148"/>
      <c r="H9" s="148"/>
      <c r="I9" s="148"/>
      <c r="J9" s="148"/>
      <c r="K9" s="148"/>
      <c r="L9" s="177"/>
      <c r="M9" s="150"/>
      <c r="N9" s="148"/>
      <c r="O9" s="150"/>
      <c r="P9" s="51" t="s">
        <v>101</v>
      </c>
      <c r="Q9" s="52" t="s">
        <v>86</v>
      </c>
      <c r="R9" s="148"/>
      <c r="S9" s="137"/>
      <c r="T9" s="53" t="s">
        <v>12</v>
      </c>
      <c r="U9" s="53" t="s">
        <v>13</v>
      </c>
      <c r="V9" s="53" t="s">
        <v>12</v>
      </c>
      <c r="W9" s="53" t="s">
        <v>13</v>
      </c>
      <c r="X9" s="53" t="s">
        <v>12</v>
      </c>
      <c r="Y9" s="53" t="s">
        <v>13</v>
      </c>
      <c r="Z9" s="53" t="s">
        <v>12</v>
      </c>
      <c r="AA9" s="53" t="s">
        <v>13</v>
      </c>
      <c r="AB9" s="53" t="s">
        <v>12</v>
      </c>
      <c r="AC9" s="53" t="s">
        <v>13</v>
      </c>
      <c r="AD9" s="148"/>
      <c r="AE9" s="156"/>
      <c r="AF9" s="135"/>
      <c r="AG9" s="135"/>
      <c r="AH9" s="135"/>
      <c r="AI9" s="137"/>
      <c r="AJ9" s="135"/>
      <c r="AK9" s="154"/>
      <c r="AL9" s="50" t="s">
        <v>12</v>
      </c>
      <c r="AM9" s="50" t="s">
        <v>13</v>
      </c>
      <c r="AN9" s="50" t="s">
        <v>12</v>
      </c>
      <c r="AO9" s="50" t="s">
        <v>13</v>
      </c>
      <c r="AP9" s="175"/>
      <c r="AQ9" s="139"/>
      <c r="AR9" s="139"/>
      <c r="AS9" s="139"/>
      <c r="AT9" s="139"/>
      <c r="AU9" s="139"/>
      <c r="AV9" s="141"/>
      <c r="AW9" s="135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26"/>
      <c r="BP9" s="126"/>
      <c r="BQ9" s="129"/>
      <c r="BR9" s="126"/>
      <c r="BS9" s="129"/>
      <c r="BT9" s="126"/>
      <c r="BU9" s="129"/>
      <c r="BV9" s="26"/>
    </row>
    <row r="10" spans="1:74" s="123" customFormat="1" ht="18" customHeight="1" x14ac:dyDescent="0.2">
      <c r="A10" s="117" t="s">
        <v>90</v>
      </c>
      <c r="B10" s="118" t="s">
        <v>91</v>
      </c>
      <c r="C10" s="44" t="s">
        <v>92</v>
      </c>
      <c r="D10" s="44">
        <v>-1</v>
      </c>
      <c r="E10" s="119">
        <v>-2</v>
      </c>
      <c r="F10" s="120" t="s">
        <v>93</v>
      </c>
      <c r="G10" s="119">
        <v>-4</v>
      </c>
      <c r="H10" s="44">
        <v>-5</v>
      </c>
      <c r="I10" s="44">
        <v>-6</v>
      </c>
      <c r="J10" s="44">
        <v>-7</v>
      </c>
      <c r="K10" s="44">
        <v>-8</v>
      </c>
      <c r="L10" s="44">
        <v>-9</v>
      </c>
      <c r="M10" s="44">
        <v>-7</v>
      </c>
      <c r="N10" s="44">
        <v>-10</v>
      </c>
      <c r="O10" s="44"/>
      <c r="P10" s="44">
        <v>-8</v>
      </c>
      <c r="Q10" s="44"/>
      <c r="R10" s="44"/>
      <c r="S10" s="44">
        <v>-9</v>
      </c>
      <c r="T10" s="44">
        <v>-11</v>
      </c>
      <c r="U10" s="44">
        <v>-10</v>
      </c>
      <c r="V10" s="44">
        <v>-12</v>
      </c>
      <c r="W10" s="44">
        <v>-10</v>
      </c>
      <c r="X10" s="44">
        <v>-10</v>
      </c>
      <c r="Y10" s="44">
        <v>-11</v>
      </c>
      <c r="Z10" s="44">
        <v>-11</v>
      </c>
      <c r="AA10" s="44">
        <v>-10</v>
      </c>
      <c r="AB10" s="44">
        <v>-12</v>
      </c>
      <c r="AC10" s="44">
        <v>-15</v>
      </c>
      <c r="AD10" s="44">
        <v>-13</v>
      </c>
      <c r="AE10" s="44">
        <v>-14</v>
      </c>
      <c r="AF10" s="44">
        <v>-16</v>
      </c>
      <c r="AG10" s="44">
        <v>-17</v>
      </c>
      <c r="AH10" s="44">
        <v>-18</v>
      </c>
      <c r="AI10" s="44">
        <v>-10</v>
      </c>
      <c r="AJ10" s="44">
        <v>-10</v>
      </c>
      <c r="AK10" s="44">
        <v>-15</v>
      </c>
      <c r="AL10" s="44">
        <v>-16</v>
      </c>
      <c r="AM10" s="44">
        <v>-20</v>
      </c>
      <c r="AN10" s="44">
        <v>-21</v>
      </c>
      <c r="AO10" s="44">
        <v>-22</v>
      </c>
      <c r="AP10" s="44">
        <v>-23</v>
      </c>
      <c r="AQ10" s="44">
        <v>-17</v>
      </c>
      <c r="AR10" s="44">
        <v>-24</v>
      </c>
      <c r="AS10" s="44">
        <v>-24</v>
      </c>
      <c r="AT10" s="44">
        <v>-27</v>
      </c>
      <c r="AU10" s="44">
        <v>-10</v>
      </c>
      <c r="AV10" s="44">
        <v>-25</v>
      </c>
      <c r="AW10" s="121" t="s">
        <v>104</v>
      </c>
      <c r="AX10" s="119">
        <v>-19</v>
      </c>
      <c r="AY10" s="119">
        <v>-20</v>
      </c>
      <c r="AZ10" s="119">
        <v>-21</v>
      </c>
      <c r="BA10" s="119">
        <v>-22</v>
      </c>
      <c r="BB10" s="119"/>
      <c r="BC10" s="119"/>
      <c r="BD10" s="119"/>
      <c r="BE10" s="119"/>
      <c r="BF10" s="119"/>
      <c r="BG10" s="119"/>
      <c r="BH10" s="119"/>
      <c r="BI10" s="119"/>
      <c r="BJ10" s="119">
        <v>-23</v>
      </c>
      <c r="BK10" s="119">
        <v>-24</v>
      </c>
      <c r="BL10" s="119">
        <v>-25</v>
      </c>
      <c r="BM10" s="119">
        <v>-26</v>
      </c>
      <c r="BN10" s="119" t="s">
        <v>111</v>
      </c>
      <c r="BO10" s="119">
        <v>-23</v>
      </c>
      <c r="BP10" s="119">
        <v>-28</v>
      </c>
      <c r="BQ10" s="119" t="s">
        <v>112</v>
      </c>
      <c r="BR10" s="119">
        <v>-31</v>
      </c>
      <c r="BS10" s="119">
        <v>-32</v>
      </c>
      <c r="BT10" s="119">
        <v>-33</v>
      </c>
      <c r="BU10" s="119" t="s">
        <v>113</v>
      </c>
      <c r="BV10" s="122"/>
    </row>
    <row r="11" spans="1:74" s="27" customFormat="1" ht="42.75" customHeight="1" x14ac:dyDescent="0.25">
      <c r="A11" s="63">
        <v>1</v>
      </c>
      <c r="B11" s="64" t="s">
        <v>17</v>
      </c>
      <c r="C11" s="88" t="s">
        <v>42</v>
      </c>
      <c r="D11" s="75">
        <v>16740000</v>
      </c>
      <c r="E11" s="87"/>
      <c r="F11" s="77">
        <v>6500000</v>
      </c>
      <c r="G11" s="76">
        <v>9930000</v>
      </c>
      <c r="H11" s="76"/>
      <c r="I11" s="78" t="s">
        <v>18</v>
      </c>
      <c r="J11" s="79">
        <v>20</v>
      </c>
      <c r="K11" s="79">
        <v>2</v>
      </c>
      <c r="L11" s="79">
        <v>0</v>
      </c>
      <c r="M11" s="79">
        <v>0</v>
      </c>
      <c r="N11" s="79"/>
      <c r="O11" s="79">
        <v>0</v>
      </c>
      <c r="P11" s="81">
        <v>0</v>
      </c>
      <c r="Q11" s="81"/>
      <c r="R11" s="81"/>
      <c r="S11" s="81">
        <v>0</v>
      </c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78">
        <f>ROUND(F11*(J11+K11+M11)/$A$5,-3)</f>
        <v>6500000</v>
      </c>
      <c r="AE11" s="83">
        <f>ROUND(IF(I11="A",(D11-F11)*(J11+K11+M11)/$A$5,IF(I11="B",(D11-F11)*0.5*(J11+K11+M11)/$A$5,IF(I11="C",0))),-3)</f>
        <v>10240000</v>
      </c>
      <c r="AF11" s="42"/>
      <c r="AG11" s="42"/>
      <c r="AH11" s="42"/>
      <c r="AI11" s="42">
        <f>ROUND(G11*(L11)/$A$5,-3)</f>
        <v>0</v>
      </c>
      <c r="AJ11" s="42">
        <f>ROUND(G11*N11/$A$5*85%,-3)</f>
        <v>0</v>
      </c>
      <c r="AK11" s="84">
        <f t="shared" ref="AK11:AK16" si="0">ROUND(P11*316000,-3)</f>
        <v>0</v>
      </c>
      <c r="AL11" s="85">
        <f t="shared" ref="AL11:AL22" si="1">ROUND((X11*43000+Z11*43000+AB11*43000),-3)</f>
        <v>0</v>
      </c>
      <c r="AM11" s="85">
        <f t="shared" ref="AM11:AM22" si="2">ROUND((AC11*54000+AA11*54000+Y11*57000),-3)</f>
        <v>0</v>
      </c>
      <c r="AN11" s="85">
        <f t="shared" ref="AN11:AN22" si="3">ROUND((T11*43000+V11*43000),-3)</f>
        <v>0</v>
      </c>
      <c r="AO11" s="85">
        <f t="shared" ref="AO11:AO26" si="4">ROUND((U11*48600+W11*52000),-3)</f>
        <v>0</v>
      </c>
      <c r="AP11" s="85"/>
      <c r="AQ11" s="116"/>
      <c r="AR11" s="87"/>
      <c r="AS11" s="87"/>
      <c r="AT11" s="87"/>
      <c r="AU11" s="87"/>
      <c r="AV11" s="88"/>
      <c r="AW11" s="89">
        <f>ROUND(SUM(AD11:AU11)-AV11,-3)</f>
        <v>16740000</v>
      </c>
      <c r="AX11" s="40">
        <f>ROUND(IF((AW11-AY11-AZ11-BA11)*0.5%&lt;234000,(AW11-AY11-AZ11-BA11)*0.5%,234000),-3)</f>
        <v>78000</v>
      </c>
      <c r="AY11" s="62">
        <v>794400</v>
      </c>
      <c r="AZ11" s="62">
        <v>148950</v>
      </c>
      <c r="BA11" s="62">
        <v>99300</v>
      </c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>
        <v>180000</v>
      </c>
      <c r="BM11" s="42"/>
      <c r="BN11" s="43">
        <f>SUM(AX11:BM11)</f>
        <v>1300650</v>
      </c>
      <c r="BO11" s="42"/>
      <c r="BP11" s="42"/>
      <c r="BQ11" s="43">
        <f>(AW11-BN11+BO11+BP11)</f>
        <v>15439350</v>
      </c>
      <c r="BR11" s="42">
        <v>100000</v>
      </c>
      <c r="BS11" s="42">
        <v>20</v>
      </c>
      <c r="BT11" s="42">
        <f>BS11*$BT$5</f>
        <v>660000</v>
      </c>
      <c r="BU11" s="43">
        <f>BQ11+BT11+BR11</f>
        <v>16199350</v>
      </c>
    </row>
    <row r="12" spans="1:74" s="28" customFormat="1" ht="42.75" customHeight="1" x14ac:dyDescent="0.25">
      <c r="A12" s="63">
        <v>2</v>
      </c>
      <c r="B12" s="64" t="s">
        <v>20</v>
      </c>
      <c r="C12" s="115" t="s">
        <v>78</v>
      </c>
      <c r="D12" s="75">
        <v>14700000</v>
      </c>
      <c r="E12" s="76">
        <v>525000</v>
      </c>
      <c r="F12" s="77">
        <v>6500000</v>
      </c>
      <c r="G12" s="76">
        <v>7510000</v>
      </c>
      <c r="H12" s="76">
        <v>525000</v>
      </c>
      <c r="I12" s="78" t="s">
        <v>18</v>
      </c>
      <c r="J12" s="79">
        <v>20</v>
      </c>
      <c r="K12" s="79">
        <v>2</v>
      </c>
      <c r="L12" s="80">
        <v>0</v>
      </c>
      <c r="M12" s="79">
        <v>0</v>
      </c>
      <c r="N12" s="79"/>
      <c r="O12" s="79">
        <v>0</v>
      </c>
      <c r="P12" s="81">
        <v>0</v>
      </c>
      <c r="Q12" s="81"/>
      <c r="R12" s="81"/>
      <c r="S12" s="81">
        <v>0</v>
      </c>
      <c r="T12" s="82">
        <v>0</v>
      </c>
      <c r="U12" s="82">
        <v>0</v>
      </c>
      <c r="V12" s="82">
        <v>0</v>
      </c>
      <c r="W12" s="82"/>
      <c r="X12" s="82">
        <v>0</v>
      </c>
      <c r="Y12" s="82">
        <v>0</v>
      </c>
      <c r="Z12" s="82">
        <v>9.8666666666666742</v>
      </c>
      <c r="AA12" s="82">
        <v>0</v>
      </c>
      <c r="AB12" s="82">
        <v>15.866666666666674</v>
      </c>
      <c r="AC12" s="82">
        <v>0</v>
      </c>
      <c r="AD12" s="78">
        <f>ROUND(F12*(J12)/$A$5*$B$5,-3)</f>
        <v>5023000</v>
      </c>
      <c r="AE12" s="83">
        <f>ROUND(IF(I12="A",(D12-F12-4500000)*(J12)/$A$5*$B$5,IF(I12="B",(D12-F12-4500000)*0.5*(J12)/$A$5*$B$5,IF(I12="C",0))),-3)</f>
        <v>2859000</v>
      </c>
      <c r="AF12" s="42">
        <f>ROUND(G12*(K12)/$A$5,-3)</f>
        <v>683000</v>
      </c>
      <c r="AG12" s="42"/>
      <c r="AH12" s="42">
        <f t="shared" ref="AH12:AH26" si="5">ROUND((D12)*M12/$A$5,-3)</f>
        <v>0</v>
      </c>
      <c r="AI12" s="42">
        <f>ROUND(G12*(L12)/$A$5,-3)</f>
        <v>0</v>
      </c>
      <c r="AJ12" s="42">
        <f>ROUND(G12*N12/$A$5*85%,-3)</f>
        <v>0</v>
      </c>
      <c r="AK12" s="84">
        <f t="shared" si="0"/>
        <v>0</v>
      </c>
      <c r="AL12" s="85">
        <f>ROUND((X12*43000+Z12*43000+AB12*43000),-3)</f>
        <v>1107000</v>
      </c>
      <c r="AM12" s="85">
        <f t="shared" si="2"/>
        <v>0</v>
      </c>
      <c r="AN12" s="85">
        <f t="shared" si="3"/>
        <v>0</v>
      </c>
      <c r="AO12" s="85">
        <f t="shared" si="4"/>
        <v>0</v>
      </c>
      <c r="AP12" s="86"/>
      <c r="AQ12" s="42">
        <v>525000</v>
      </c>
      <c r="AR12" s="42"/>
      <c r="AS12" s="87"/>
      <c r="AT12" s="87"/>
      <c r="AU12" s="87"/>
      <c r="AV12" s="88"/>
      <c r="AW12" s="89">
        <f>ROUND(SUM(AD12:AU12)-AV12,-3)</f>
        <v>10197000</v>
      </c>
      <c r="AX12" s="40">
        <f t="shared" ref="AX12" si="6">ROUND(IF((AW12-AY12-AZ12-BA12)*0.5%&lt;234000,(AW12-AY12-AZ12-BA12)*0.5%,234000),-3)</f>
        <v>47000</v>
      </c>
      <c r="AY12" s="62">
        <v>642800</v>
      </c>
      <c r="AZ12" s="62">
        <v>120525</v>
      </c>
      <c r="BA12" s="62">
        <v>80350</v>
      </c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>
        <v>180000</v>
      </c>
      <c r="BM12" s="42"/>
      <c r="BN12" s="43">
        <f t="shared" ref="BN12:BN26" si="7">SUM(AX12:BM12)</f>
        <v>1070675</v>
      </c>
      <c r="BO12" s="42"/>
      <c r="BP12" s="42"/>
      <c r="BQ12" s="43">
        <f t="shared" ref="BQ12:BQ26" si="8">(AW12-BN12+BO12+BP12)</f>
        <v>9126325</v>
      </c>
      <c r="BR12" s="42">
        <v>100000</v>
      </c>
      <c r="BS12" s="42">
        <v>20</v>
      </c>
      <c r="BT12" s="42">
        <f>BS12*$BT$5</f>
        <v>660000</v>
      </c>
      <c r="BU12" s="43">
        <f t="shared" ref="BU12:BU26" si="9">BQ12+BT12+BR12</f>
        <v>9886325</v>
      </c>
    </row>
    <row r="13" spans="1:74" s="28" customFormat="1" ht="42.75" customHeight="1" x14ac:dyDescent="0.25">
      <c r="A13" s="63">
        <v>3</v>
      </c>
      <c r="B13" s="64" t="s">
        <v>22</v>
      </c>
      <c r="C13" s="74" t="s">
        <v>21</v>
      </c>
      <c r="D13" s="75">
        <v>14700000</v>
      </c>
      <c r="E13" s="76"/>
      <c r="F13" s="77">
        <v>6500000</v>
      </c>
      <c r="G13" s="76">
        <v>7510000</v>
      </c>
      <c r="H13" s="76"/>
      <c r="I13" s="78" t="s">
        <v>18</v>
      </c>
      <c r="J13" s="79">
        <v>20</v>
      </c>
      <c r="K13" s="79">
        <v>2</v>
      </c>
      <c r="L13" s="79">
        <v>0</v>
      </c>
      <c r="M13" s="79">
        <v>0</v>
      </c>
      <c r="N13" s="79"/>
      <c r="O13" s="79">
        <v>0</v>
      </c>
      <c r="P13" s="90">
        <v>36.75</v>
      </c>
      <c r="Q13" s="81"/>
      <c r="R13" s="81"/>
      <c r="S13" s="81">
        <v>0</v>
      </c>
      <c r="T13" s="42">
        <v>0</v>
      </c>
      <c r="U13" s="42">
        <v>0</v>
      </c>
      <c r="V13" s="42">
        <v>0</v>
      </c>
      <c r="W13" s="42"/>
      <c r="X13" s="42">
        <v>0</v>
      </c>
      <c r="Y13" s="42">
        <v>0</v>
      </c>
      <c r="Z13" s="42">
        <v>8.0999999999999943</v>
      </c>
      <c r="AA13" s="42">
        <v>0</v>
      </c>
      <c r="AB13" s="42">
        <v>72.699999999999989</v>
      </c>
      <c r="AC13" s="42">
        <v>0</v>
      </c>
      <c r="AD13" s="78">
        <f>ROUND(F13*(J13)/$A$5*$B$5,-3)</f>
        <v>5023000</v>
      </c>
      <c r="AE13" s="83">
        <f>ROUND(IF(I13="A",(D13-F13-4500000)*(J13)/$A$5*$B$5,IF(I13="B",(D13-F13-4500000)*0.5*(J13)/$A$5*$B$5,IF(I13="C",0))),-3)</f>
        <v>2859000</v>
      </c>
      <c r="AF13" s="42">
        <f>ROUND(G13*(K13)/$A$5,-3)</f>
        <v>683000</v>
      </c>
      <c r="AG13" s="42"/>
      <c r="AH13" s="42">
        <f t="shared" si="5"/>
        <v>0</v>
      </c>
      <c r="AI13" s="42">
        <f>ROUND(G13*(L13)/$A$5,-3)</f>
        <v>0</v>
      </c>
      <c r="AJ13" s="42">
        <f>ROUND(G13*N13/$A$5*85%,-3)</f>
        <v>0</v>
      </c>
      <c r="AK13" s="84">
        <f t="shared" si="0"/>
        <v>11613000</v>
      </c>
      <c r="AL13" s="85">
        <f t="shared" si="1"/>
        <v>3474000</v>
      </c>
      <c r="AM13" s="85">
        <f t="shared" si="2"/>
        <v>0</v>
      </c>
      <c r="AN13" s="85">
        <f t="shared" si="3"/>
        <v>0</v>
      </c>
      <c r="AO13" s="85">
        <f t="shared" si="4"/>
        <v>0</v>
      </c>
      <c r="AP13" s="86"/>
      <c r="AQ13" s="91"/>
      <c r="AR13" s="42"/>
      <c r="AS13" s="87"/>
      <c r="AT13" s="87"/>
      <c r="AU13" s="87"/>
      <c r="AV13" s="88"/>
      <c r="AW13" s="89">
        <f>ROUND(SUM(AD13:AU13)-AV13,-3)</f>
        <v>23652000</v>
      </c>
      <c r="AX13" s="40">
        <f>ROUND(IF((AW13-AY13-AZ13-BA13-BM13)*0.5%&lt;234000,(AW13-AY13-AZ13-BA13-BM13)*0.5%,234000),-3)</f>
        <v>113000</v>
      </c>
      <c r="AY13" s="62">
        <v>600800</v>
      </c>
      <c r="AZ13" s="62">
        <v>112650</v>
      </c>
      <c r="BA13" s="62">
        <v>75100</v>
      </c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>
        <v>180000</v>
      </c>
      <c r="BM13" s="42">
        <v>200000</v>
      </c>
      <c r="BN13" s="43">
        <f t="shared" si="7"/>
        <v>1281550</v>
      </c>
      <c r="BO13" s="42"/>
      <c r="BP13" s="42">
        <v>80000</v>
      </c>
      <c r="BQ13" s="43">
        <f t="shared" si="8"/>
        <v>22450450</v>
      </c>
      <c r="BR13" s="42">
        <v>100000</v>
      </c>
      <c r="BS13" s="42">
        <v>20</v>
      </c>
      <c r="BT13" s="42">
        <f t="shared" ref="BT13:BT26" si="10">BS13*$BT$5</f>
        <v>660000</v>
      </c>
      <c r="BU13" s="43">
        <f t="shared" si="9"/>
        <v>23210450</v>
      </c>
    </row>
    <row r="14" spans="1:74" s="28" customFormat="1" ht="42.75" customHeight="1" x14ac:dyDescent="0.25">
      <c r="A14" s="63">
        <v>4</v>
      </c>
      <c r="B14" s="64" t="s">
        <v>23</v>
      </c>
      <c r="C14" s="74" t="s">
        <v>79</v>
      </c>
      <c r="D14" s="75">
        <v>14200000</v>
      </c>
      <c r="E14" s="76">
        <v>525000</v>
      </c>
      <c r="F14" s="77">
        <v>6500000</v>
      </c>
      <c r="G14" s="76">
        <v>7140000</v>
      </c>
      <c r="H14" s="76">
        <v>525000</v>
      </c>
      <c r="I14" s="78" t="s">
        <v>18</v>
      </c>
      <c r="J14" s="79">
        <v>20</v>
      </c>
      <c r="K14" s="79">
        <v>2</v>
      </c>
      <c r="L14" s="79">
        <v>0</v>
      </c>
      <c r="M14" s="79">
        <v>0</v>
      </c>
      <c r="N14" s="79"/>
      <c r="O14" s="79">
        <v>0</v>
      </c>
      <c r="P14" s="90">
        <v>0</v>
      </c>
      <c r="Q14" s="81"/>
      <c r="R14" s="81"/>
      <c r="S14" s="81">
        <v>0</v>
      </c>
      <c r="T14" s="82">
        <v>0</v>
      </c>
      <c r="U14" s="82">
        <v>0</v>
      </c>
      <c r="V14" s="82">
        <v>0</v>
      </c>
      <c r="W14" s="82">
        <v>0</v>
      </c>
      <c r="X14" s="82">
        <v>0</v>
      </c>
      <c r="Y14" s="82">
        <v>0</v>
      </c>
      <c r="Z14" s="82">
        <v>0</v>
      </c>
      <c r="AA14" s="82">
        <v>0</v>
      </c>
      <c r="AB14" s="82">
        <v>0</v>
      </c>
      <c r="AC14" s="82">
        <v>0</v>
      </c>
      <c r="AD14" s="78">
        <f>ROUND(F14*(J14)/$A$5*$B$5,-3)</f>
        <v>5023000</v>
      </c>
      <c r="AE14" s="83">
        <f>ROUND(IF(I14="A",(D14-F14-4500000)*(J14)/$A$5*$B$5,IF(I14="B",(D14-F14-4500000)*0.5*(J14)/$A$5*$B$5,IF(I14="C",0))),-3)</f>
        <v>2473000</v>
      </c>
      <c r="AF14" s="42">
        <f>ROUND(G14*(K14)/$A$5,-3)</f>
        <v>649000</v>
      </c>
      <c r="AG14" s="42"/>
      <c r="AH14" s="42">
        <f t="shared" si="5"/>
        <v>0</v>
      </c>
      <c r="AI14" s="42">
        <f>ROUND(G14*(L14)/$A$5,-3)</f>
        <v>0</v>
      </c>
      <c r="AJ14" s="42">
        <f>ROUND(G14*N14/$A$5*85%,-3)</f>
        <v>0</v>
      </c>
      <c r="AK14" s="84">
        <f t="shared" si="0"/>
        <v>0</v>
      </c>
      <c r="AL14" s="85">
        <f t="shared" si="1"/>
        <v>0</v>
      </c>
      <c r="AM14" s="85">
        <f t="shared" si="2"/>
        <v>0</v>
      </c>
      <c r="AN14" s="85">
        <f t="shared" si="3"/>
        <v>0</v>
      </c>
      <c r="AO14" s="85">
        <f t="shared" si="4"/>
        <v>0</v>
      </c>
      <c r="AP14" s="86"/>
      <c r="AQ14" s="42">
        <v>525000</v>
      </c>
      <c r="AR14" s="42"/>
      <c r="AS14" s="87"/>
      <c r="AT14" s="87"/>
      <c r="AU14" s="87"/>
      <c r="AV14" s="88"/>
      <c r="AW14" s="89">
        <f>ROUND(SUM(AD14:AU14)-AV14,-3)</f>
        <v>8670000</v>
      </c>
      <c r="AX14" s="40">
        <f t="shared" ref="AX14:AX26" si="11">ROUND(IF((AW14-AY14-AZ14-BA14-BM14)*0.5%&lt;234000,(AW14-AY14-AZ14-BA14-BM14)*0.5%,234000),-3)</f>
        <v>39000</v>
      </c>
      <c r="AY14" s="62">
        <v>613200</v>
      </c>
      <c r="AZ14" s="62">
        <v>114975</v>
      </c>
      <c r="BA14" s="62">
        <v>76650</v>
      </c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>
        <v>180000</v>
      </c>
      <c r="BM14" s="42">
        <v>150000</v>
      </c>
      <c r="BN14" s="43">
        <f t="shared" si="7"/>
        <v>1173825</v>
      </c>
      <c r="BO14" s="42"/>
      <c r="BP14" s="42"/>
      <c r="BQ14" s="43">
        <f t="shared" si="8"/>
        <v>7496175</v>
      </c>
      <c r="BR14" s="42">
        <v>100000</v>
      </c>
      <c r="BS14" s="42">
        <v>20</v>
      </c>
      <c r="BT14" s="42">
        <f t="shared" si="10"/>
        <v>660000</v>
      </c>
      <c r="BU14" s="43">
        <f t="shared" si="9"/>
        <v>8256175</v>
      </c>
    </row>
    <row r="15" spans="1:74" s="29" customFormat="1" ht="42.75" customHeight="1" x14ac:dyDescent="0.25">
      <c r="A15" s="63">
        <v>5</v>
      </c>
      <c r="B15" s="65" t="s">
        <v>24</v>
      </c>
      <c r="C15" s="74" t="s">
        <v>21</v>
      </c>
      <c r="D15" s="75">
        <v>14200000</v>
      </c>
      <c r="E15" s="92"/>
      <c r="F15" s="93">
        <v>6500000</v>
      </c>
      <c r="G15" s="76">
        <v>7140000</v>
      </c>
      <c r="H15" s="76"/>
      <c r="I15" s="78" t="s">
        <v>18</v>
      </c>
      <c r="J15" s="79">
        <v>20</v>
      </c>
      <c r="K15" s="79">
        <v>2</v>
      </c>
      <c r="L15" s="79"/>
      <c r="M15" s="79"/>
      <c r="N15" s="79"/>
      <c r="O15" s="79"/>
      <c r="P15" s="90"/>
      <c r="Q15" s="81"/>
      <c r="R15" s="81"/>
      <c r="S15" s="81"/>
      <c r="T15" s="79"/>
      <c r="U15" s="79"/>
      <c r="V15" s="79"/>
      <c r="W15" s="79"/>
      <c r="X15" s="79"/>
      <c r="Y15" s="79"/>
      <c r="Z15" s="80">
        <v>55.400000000000006</v>
      </c>
      <c r="AA15" s="79"/>
      <c r="AB15" s="79"/>
      <c r="AC15" s="79"/>
      <c r="AD15" s="78">
        <f>ROUND(F15*(J15)/$A$5*$B$5,-3)</f>
        <v>5023000</v>
      </c>
      <c r="AE15" s="83">
        <f>ROUND(IF(I15="A",(D15-F15-4500000)*(J15)/$A$5*$B$5,IF(I15="B",(D15-F15-4500000)*0.5*(J15)/$A$5*$B$5,IF(I15="C",0))),-3)</f>
        <v>2473000</v>
      </c>
      <c r="AF15" s="42">
        <f>ROUND(G15*(K15)/$A$5,-3)</f>
        <v>649000</v>
      </c>
      <c r="AG15" s="42"/>
      <c r="AH15" s="42">
        <f t="shared" si="5"/>
        <v>0</v>
      </c>
      <c r="AI15" s="42">
        <f>ROUND(G15*(L15)/$A$5,-3)</f>
        <v>0</v>
      </c>
      <c r="AJ15" s="42">
        <f>ROUND(G15*N15/$A$5*85%,-3)</f>
        <v>0</v>
      </c>
      <c r="AK15" s="84">
        <f t="shared" si="0"/>
        <v>0</v>
      </c>
      <c r="AL15" s="85">
        <f t="shared" si="1"/>
        <v>2382000</v>
      </c>
      <c r="AM15" s="85">
        <f t="shared" si="2"/>
        <v>0</v>
      </c>
      <c r="AN15" s="85">
        <f t="shared" si="3"/>
        <v>0</v>
      </c>
      <c r="AO15" s="85">
        <f t="shared" si="4"/>
        <v>0</v>
      </c>
      <c r="AP15" s="86"/>
      <c r="AQ15" s="42"/>
      <c r="AR15" s="42"/>
      <c r="AS15" s="87"/>
      <c r="AT15" s="87"/>
      <c r="AU15" s="87"/>
      <c r="AV15" s="88"/>
      <c r="AW15" s="89">
        <f>ROUND(SUM(AD15:AU15)-AV15,-3)</f>
        <v>10527000</v>
      </c>
      <c r="AX15" s="40">
        <f t="shared" si="11"/>
        <v>48000</v>
      </c>
      <c r="AY15" s="62">
        <v>571200</v>
      </c>
      <c r="AZ15" s="62">
        <v>107100</v>
      </c>
      <c r="BA15" s="62">
        <v>71400</v>
      </c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>
        <v>100000</v>
      </c>
      <c r="BN15" s="43">
        <f t="shared" si="7"/>
        <v>897700</v>
      </c>
      <c r="BO15" s="42"/>
      <c r="BP15" s="42"/>
      <c r="BQ15" s="43">
        <f t="shared" si="8"/>
        <v>9629300</v>
      </c>
      <c r="BR15" s="42">
        <v>100000</v>
      </c>
      <c r="BS15" s="42">
        <v>20</v>
      </c>
      <c r="BT15" s="42">
        <f t="shared" si="10"/>
        <v>660000</v>
      </c>
      <c r="BU15" s="43">
        <f t="shared" si="9"/>
        <v>10389300</v>
      </c>
    </row>
    <row r="16" spans="1:74" s="29" customFormat="1" ht="42.75" customHeight="1" x14ac:dyDescent="0.25">
      <c r="A16" s="63">
        <v>6</v>
      </c>
      <c r="B16" s="64" t="s">
        <v>40</v>
      </c>
      <c r="C16" s="74" t="s">
        <v>21</v>
      </c>
      <c r="D16" s="75">
        <v>14700000</v>
      </c>
      <c r="E16" s="76"/>
      <c r="F16" s="77">
        <v>6500000</v>
      </c>
      <c r="G16" s="76">
        <v>7510000</v>
      </c>
      <c r="H16" s="76"/>
      <c r="I16" s="78" t="s">
        <v>18</v>
      </c>
      <c r="J16" s="79">
        <v>20</v>
      </c>
      <c r="K16" s="79">
        <v>2</v>
      </c>
      <c r="L16" s="79">
        <v>0</v>
      </c>
      <c r="M16" s="79">
        <v>0</v>
      </c>
      <c r="N16" s="79"/>
      <c r="O16" s="79">
        <v>0</v>
      </c>
      <c r="P16" s="90">
        <v>0</v>
      </c>
      <c r="Q16" s="81"/>
      <c r="R16" s="81"/>
      <c r="S16" s="81">
        <v>0</v>
      </c>
      <c r="T16" s="80">
        <v>0</v>
      </c>
      <c r="U16" s="80">
        <v>0</v>
      </c>
      <c r="V16" s="80">
        <v>0</v>
      </c>
      <c r="W16" s="80"/>
      <c r="X16" s="80">
        <v>7.7833333333333314</v>
      </c>
      <c r="Y16" s="80">
        <v>0</v>
      </c>
      <c r="Z16" s="80">
        <v>0</v>
      </c>
      <c r="AA16" s="80">
        <v>0</v>
      </c>
      <c r="AB16" s="80">
        <v>0</v>
      </c>
      <c r="AC16" s="80">
        <v>0</v>
      </c>
      <c r="AD16" s="78">
        <f t="shared" ref="AD16:AD22" si="12">ROUND(F16*(J16)/$A$5*$B$5,-3)</f>
        <v>5023000</v>
      </c>
      <c r="AE16" s="83">
        <f t="shared" ref="AE16:AE22" si="13">ROUND(IF(I16="A",(D16-F16-4500000)*(J16)/$A$5*$B$5,IF(I16="B",(D16-F16-4500000)*0.5*(J16)/$A$5*$B$5,IF(I16="C",0))),-3)</f>
        <v>2859000</v>
      </c>
      <c r="AF16" s="42">
        <f t="shared" ref="AF16:AF26" si="14">ROUND(G16*(K16)/$A$5,-3)</f>
        <v>683000</v>
      </c>
      <c r="AG16" s="42"/>
      <c r="AH16" s="42">
        <f t="shared" si="5"/>
        <v>0</v>
      </c>
      <c r="AI16" s="42">
        <f t="shared" ref="AI16:AI21" si="15">ROUND(G16*(L16)/$A$5,-3)</f>
        <v>0</v>
      </c>
      <c r="AJ16" s="42">
        <f t="shared" ref="AJ16:AJ26" si="16">ROUND(G16*N16/$A$5*85%,-3)</f>
        <v>0</v>
      </c>
      <c r="AK16" s="84">
        <f t="shared" si="0"/>
        <v>0</v>
      </c>
      <c r="AL16" s="85">
        <f t="shared" si="1"/>
        <v>335000</v>
      </c>
      <c r="AM16" s="85">
        <f t="shared" si="2"/>
        <v>0</v>
      </c>
      <c r="AN16" s="85">
        <f>ROUND((T16*43000+V16*43000),-3)</f>
        <v>0</v>
      </c>
      <c r="AO16" s="85">
        <f t="shared" si="4"/>
        <v>0</v>
      </c>
      <c r="AP16" s="86"/>
      <c r="AQ16" s="94"/>
      <c r="AR16" s="42">
        <f>E16*(J16+K16)/$A$5</f>
        <v>0</v>
      </c>
      <c r="AS16" s="42"/>
      <c r="AT16" s="42"/>
      <c r="AU16" s="42"/>
      <c r="AV16" s="95"/>
      <c r="AW16" s="89">
        <f t="shared" ref="AW16:AW26" si="17">ROUND(SUM(AD16:AU16)-AV16,-3)</f>
        <v>8900000</v>
      </c>
      <c r="AX16" s="40">
        <f t="shared" si="11"/>
        <v>39000</v>
      </c>
      <c r="AY16" s="62">
        <v>600800</v>
      </c>
      <c r="AZ16" s="62">
        <v>112650</v>
      </c>
      <c r="BA16" s="62">
        <v>75100</v>
      </c>
      <c r="BB16" s="42"/>
      <c r="BC16" s="42"/>
      <c r="BD16" s="42"/>
      <c r="BE16" s="42"/>
      <c r="BF16" s="42"/>
      <c r="BG16" s="42"/>
      <c r="BH16" s="42"/>
      <c r="BI16" s="42"/>
      <c r="BJ16" s="42">
        <v>2022000</v>
      </c>
      <c r="BK16" s="42"/>
      <c r="BL16" s="42">
        <v>180000</v>
      </c>
      <c r="BM16" s="42">
        <v>400000</v>
      </c>
      <c r="BN16" s="43">
        <f t="shared" si="7"/>
        <v>3429550</v>
      </c>
      <c r="BO16" s="42"/>
      <c r="BP16" s="42"/>
      <c r="BQ16" s="43">
        <f t="shared" si="8"/>
        <v>5470450</v>
      </c>
      <c r="BR16" s="42">
        <v>100000</v>
      </c>
      <c r="BS16" s="42">
        <v>20</v>
      </c>
      <c r="BT16" s="42">
        <f t="shared" si="10"/>
        <v>660000</v>
      </c>
      <c r="BU16" s="43">
        <f t="shared" si="9"/>
        <v>6230450</v>
      </c>
    </row>
    <row r="17" spans="1:74" s="29" customFormat="1" ht="42.75" customHeight="1" x14ac:dyDescent="0.25">
      <c r="A17" s="63">
        <v>7</v>
      </c>
      <c r="B17" s="64" t="s">
        <v>19</v>
      </c>
      <c r="C17" s="74" t="s">
        <v>48</v>
      </c>
      <c r="D17" s="75">
        <v>14200000</v>
      </c>
      <c r="E17" s="76">
        <v>420000</v>
      </c>
      <c r="F17" s="77">
        <v>6500000</v>
      </c>
      <c r="G17" s="76">
        <v>7140000</v>
      </c>
      <c r="H17" s="76">
        <v>420000</v>
      </c>
      <c r="I17" s="78" t="s">
        <v>18</v>
      </c>
      <c r="J17" s="79">
        <v>19</v>
      </c>
      <c r="K17" s="79">
        <v>2</v>
      </c>
      <c r="L17" s="79">
        <v>0</v>
      </c>
      <c r="M17" s="79">
        <v>0</v>
      </c>
      <c r="N17" s="79"/>
      <c r="O17" s="79">
        <v>0</v>
      </c>
      <c r="P17" s="90">
        <v>95.25</v>
      </c>
      <c r="Q17" s="90"/>
      <c r="R17" s="90"/>
      <c r="S17" s="81">
        <v>1</v>
      </c>
      <c r="T17" s="80">
        <v>0</v>
      </c>
      <c r="U17" s="80">
        <v>0</v>
      </c>
      <c r="V17" s="80">
        <v>0</v>
      </c>
      <c r="W17" s="80"/>
      <c r="X17" s="80">
        <v>0</v>
      </c>
      <c r="Y17" s="80">
        <v>0</v>
      </c>
      <c r="Z17" s="80">
        <v>0</v>
      </c>
      <c r="AA17" s="80">
        <v>0</v>
      </c>
      <c r="AB17" s="80">
        <v>42.833333333333343</v>
      </c>
      <c r="AC17" s="80">
        <v>0</v>
      </c>
      <c r="AD17" s="78">
        <f t="shared" si="12"/>
        <v>4772000</v>
      </c>
      <c r="AE17" s="83">
        <f>ROUND(IF(I17="A",(D17-F17-4500000)*(J17)/$A$5*$B$5,IF(I17="B",(D17-F17-4500000)*0.5*(J17)/$A$5*$B$5,IF(I17="C",0))),-3)</f>
        <v>2349000</v>
      </c>
      <c r="AF17" s="42">
        <f t="shared" si="14"/>
        <v>649000</v>
      </c>
      <c r="AG17" s="42"/>
      <c r="AH17" s="42">
        <f t="shared" si="5"/>
        <v>0</v>
      </c>
      <c r="AI17" s="42">
        <f t="shared" si="15"/>
        <v>0</v>
      </c>
      <c r="AJ17" s="42">
        <f t="shared" si="16"/>
        <v>0</v>
      </c>
      <c r="AK17" s="84">
        <f>ROUND(P17*316000,-3)</f>
        <v>30099000</v>
      </c>
      <c r="AL17" s="85">
        <f t="shared" si="1"/>
        <v>1842000</v>
      </c>
      <c r="AM17" s="85">
        <f t="shared" si="2"/>
        <v>0</v>
      </c>
      <c r="AN17" s="85">
        <f t="shared" si="3"/>
        <v>0</v>
      </c>
      <c r="AO17" s="85">
        <f t="shared" si="4"/>
        <v>0</v>
      </c>
      <c r="AP17" s="86"/>
      <c r="AQ17" s="75">
        <v>420000</v>
      </c>
      <c r="AR17" s="75"/>
      <c r="AS17" s="42"/>
      <c r="AT17" s="42"/>
      <c r="AU17" s="42"/>
      <c r="AV17" s="96"/>
      <c r="AW17" s="89">
        <f t="shared" si="17"/>
        <v>40131000</v>
      </c>
      <c r="AX17" s="40">
        <f t="shared" si="11"/>
        <v>197000</v>
      </c>
      <c r="AY17" s="62">
        <v>604800</v>
      </c>
      <c r="AZ17" s="62">
        <v>113400</v>
      </c>
      <c r="BA17" s="62">
        <v>75600</v>
      </c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>
        <v>180000</v>
      </c>
      <c r="BM17" s="42"/>
      <c r="BN17" s="43">
        <f t="shared" si="7"/>
        <v>1170800</v>
      </c>
      <c r="BO17" s="42"/>
      <c r="BP17" s="42"/>
      <c r="BQ17" s="43">
        <f t="shared" si="8"/>
        <v>38960200</v>
      </c>
      <c r="BR17" s="42">
        <v>100000</v>
      </c>
      <c r="BS17" s="42">
        <v>19</v>
      </c>
      <c r="BT17" s="42">
        <f t="shared" si="10"/>
        <v>627000</v>
      </c>
      <c r="BU17" s="43">
        <f t="shared" si="9"/>
        <v>39687200</v>
      </c>
    </row>
    <row r="18" spans="1:74" s="29" customFormat="1" ht="42.75" customHeight="1" x14ac:dyDescent="0.25">
      <c r="A18" s="63">
        <v>8</v>
      </c>
      <c r="B18" s="66" t="s">
        <v>49</v>
      </c>
      <c r="C18" s="74" t="s">
        <v>21</v>
      </c>
      <c r="D18" s="75">
        <v>13690000</v>
      </c>
      <c r="E18" s="79"/>
      <c r="F18" s="77">
        <v>6500000</v>
      </c>
      <c r="G18" s="76">
        <v>6800000</v>
      </c>
      <c r="H18" s="76"/>
      <c r="I18" s="78" t="s">
        <v>18</v>
      </c>
      <c r="J18" s="79">
        <v>20</v>
      </c>
      <c r="K18" s="79">
        <v>2</v>
      </c>
      <c r="L18" s="79">
        <v>0</v>
      </c>
      <c r="M18" s="79">
        <v>0</v>
      </c>
      <c r="N18" s="79"/>
      <c r="O18" s="79">
        <v>0</v>
      </c>
      <c r="P18" s="90">
        <v>0</v>
      </c>
      <c r="Q18" s="90"/>
      <c r="R18" s="90"/>
      <c r="S18" s="81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0.93333333333333712</v>
      </c>
      <c r="AA18" s="80">
        <v>0</v>
      </c>
      <c r="AB18" s="80">
        <v>0</v>
      </c>
      <c r="AC18" s="80">
        <v>0</v>
      </c>
      <c r="AD18" s="78">
        <f t="shared" si="12"/>
        <v>5023000</v>
      </c>
      <c r="AE18" s="83">
        <f t="shared" si="13"/>
        <v>2079000</v>
      </c>
      <c r="AF18" s="42">
        <f t="shared" si="14"/>
        <v>618000</v>
      </c>
      <c r="AG18" s="42"/>
      <c r="AH18" s="42">
        <f t="shared" si="5"/>
        <v>0</v>
      </c>
      <c r="AI18" s="42">
        <f t="shared" si="15"/>
        <v>0</v>
      </c>
      <c r="AJ18" s="42">
        <f t="shared" si="16"/>
        <v>0</v>
      </c>
      <c r="AK18" s="84">
        <f>ROUND(P18*316000,-3)+ROUND(O18*316000,-3)</f>
        <v>0</v>
      </c>
      <c r="AL18" s="85">
        <f t="shared" si="1"/>
        <v>40000</v>
      </c>
      <c r="AM18" s="85">
        <f t="shared" si="2"/>
        <v>0</v>
      </c>
      <c r="AN18" s="85">
        <f t="shared" si="3"/>
        <v>0</v>
      </c>
      <c r="AO18" s="85">
        <f t="shared" si="4"/>
        <v>0</v>
      </c>
      <c r="AP18" s="86"/>
      <c r="AQ18" s="94"/>
      <c r="AR18" s="42">
        <f>E18*(J18+K18)/$A$5</f>
        <v>0</v>
      </c>
      <c r="AS18" s="42"/>
      <c r="AT18" s="42"/>
      <c r="AU18" s="42"/>
      <c r="AV18" s="96"/>
      <c r="AW18" s="89">
        <f t="shared" si="17"/>
        <v>7760000</v>
      </c>
      <c r="AX18" s="40">
        <f t="shared" si="11"/>
        <v>35000</v>
      </c>
      <c r="AY18" s="62">
        <v>544000</v>
      </c>
      <c r="AZ18" s="62">
        <v>102000</v>
      </c>
      <c r="BA18" s="62">
        <v>68000</v>
      </c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>
        <v>180000</v>
      </c>
      <c r="BM18" s="42"/>
      <c r="BN18" s="43">
        <f t="shared" si="7"/>
        <v>929000</v>
      </c>
      <c r="BO18" s="42"/>
      <c r="BP18" s="42">
        <v>80000</v>
      </c>
      <c r="BQ18" s="43">
        <f t="shared" si="8"/>
        <v>6911000</v>
      </c>
      <c r="BR18" s="42">
        <v>100000</v>
      </c>
      <c r="BS18" s="42">
        <v>20</v>
      </c>
      <c r="BT18" s="42">
        <f t="shared" si="10"/>
        <v>660000</v>
      </c>
      <c r="BU18" s="43">
        <f t="shared" si="9"/>
        <v>7671000</v>
      </c>
      <c r="BV18" s="30"/>
    </row>
    <row r="19" spans="1:74" s="30" customFormat="1" ht="42.75" customHeight="1" x14ac:dyDescent="0.25">
      <c r="A19" s="63">
        <v>9</v>
      </c>
      <c r="B19" s="66" t="s">
        <v>52</v>
      </c>
      <c r="C19" s="74" t="s">
        <v>21</v>
      </c>
      <c r="D19" s="75">
        <v>14200000</v>
      </c>
      <c r="E19" s="79"/>
      <c r="F19" s="77">
        <v>6500000</v>
      </c>
      <c r="G19" s="76">
        <v>7140000</v>
      </c>
      <c r="H19" s="76"/>
      <c r="I19" s="78" t="s">
        <v>18</v>
      </c>
      <c r="J19" s="79">
        <v>20</v>
      </c>
      <c r="K19" s="79">
        <v>2</v>
      </c>
      <c r="L19" s="79">
        <v>0</v>
      </c>
      <c r="M19" s="79">
        <v>0</v>
      </c>
      <c r="N19" s="79"/>
      <c r="O19" s="79">
        <v>0</v>
      </c>
      <c r="P19" s="90">
        <v>0</v>
      </c>
      <c r="Q19" s="81"/>
      <c r="R19" s="81"/>
      <c r="S19" s="81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17</v>
      </c>
      <c r="AA19" s="80">
        <v>0</v>
      </c>
      <c r="AB19" s="80">
        <v>16.333333333333343</v>
      </c>
      <c r="AC19" s="80">
        <v>35</v>
      </c>
      <c r="AD19" s="78">
        <f t="shared" si="12"/>
        <v>5023000</v>
      </c>
      <c r="AE19" s="83">
        <f t="shared" si="13"/>
        <v>2473000</v>
      </c>
      <c r="AF19" s="42">
        <f t="shared" si="14"/>
        <v>649000</v>
      </c>
      <c r="AG19" s="42"/>
      <c r="AH19" s="42">
        <f t="shared" si="5"/>
        <v>0</v>
      </c>
      <c r="AI19" s="42">
        <f t="shared" si="15"/>
        <v>0</v>
      </c>
      <c r="AJ19" s="42">
        <f t="shared" si="16"/>
        <v>0</v>
      </c>
      <c r="AK19" s="84">
        <f t="shared" ref="AK19:AK26" si="18">ROUND(P19*316000,-3)</f>
        <v>0</v>
      </c>
      <c r="AL19" s="85">
        <f t="shared" si="1"/>
        <v>1433000</v>
      </c>
      <c r="AM19" s="85">
        <f t="shared" si="2"/>
        <v>1890000</v>
      </c>
      <c r="AN19" s="85">
        <f t="shared" si="3"/>
        <v>0</v>
      </c>
      <c r="AO19" s="85">
        <f t="shared" si="4"/>
        <v>0</v>
      </c>
      <c r="AP19" s="86"/>
      <c r="AQ19" s="94"/>
      <c r="AR19" s="42">
        <f>E19*(J19+K19)/$A$5</f>
        <v>0</v>
      </c>
      <c r="AS19" s="78"/>
      <c r="AT19" s="78"/>
      <c r="AU19" s="78"/>
      <c r="AV19" s="96"/>
      <c r="AW19" s="89">
        <f t="shared" si="17"/>
        <v>11468000</v>
      </c>
      <c r="AX19" s="40">
        <f t="shared" si="11"/>
        <v>54000</v>
      </c>
      <c r="AY19" s="62">
        <v>571200</v>
      </c>
      <c r="AZ19" s="62">
        <v>107100</v>
      </c>
      <c r="BA19" s="62">
        <v>71400</v>
      </c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>
        <v>180000</v>
      </c>
      <c r="BM19" s="42"/>
      <c r="BN19" s="43">
        <f t="shared" si="7"/>
        <v>983700</v>
      </c>
      <c r="BO19" s="42"/>
      <c r="BP19" s="42"/>
      <c r="BQ19" s="43">
        <f t="shared" si="8"/>
        <v>10484300</v>
      </c>
      <c r="BR19" s="42">
        <v>100000</v>
      </c>
      <c r="BS19" s="42">
        <v>20</v>
      </c>
      <c r="BT19" s="42">
        <f t="shared" si="10"/>
        <v>660000</v>
      </c>
      <c r="BU19" s="43">
        <f t="shared" si="9"/>
        <v>11244300</v>
      </c>
    </row>
    <row r="20" spans="1:74" s="30" customFormat="1" ht="42.75" customHeight="1" x14ac:dyDescent="0.25">
      <c r="A20" s="63">
        <v>10</v>
      </c>
      <c r="B20" s="66" t="s">
        <v>53</v>
      </c>
      <c r="C20" s="74" t="s">
        <v>21</v>
      </c>
      <c r="D20" s="75">
        <v>14200000</v>
      </c>
      <c r="E20" s="79"/>
      <c r="F20" s="77">
        <v>6500000</v>
      </c>
      <c r="G20" s="76">
        <v>7140000</v>
      </c>
      <c r="H20" s="76"/>
      <c r="I20" s="78" t="s">
        <v>18</v>
      </c>
      <c r="J20" s="79">
        <v>20</v>
      </c>
      <c r="K20" s="79">
        <v>2</v>
      </c>
      <c r="L20" s="79">
        <v>0</v>
      </c>
      <c r="M20" s="79">
        <v>0</v>
      </c>
      <c r="N20" s="79"/>
      <c r="O20" s="79">
        <v>0</v>
      </c>
      <c r="P20" s="90">
        <v>0</v>
      </c>
      <c r="Q20" s="81"/>
      <c r="R20" s="81"/>
      <c r="S20" s="87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39.466666666666669</v>
      </c>
      <c r="AA20" s="80">
        <v>0</v>
      </c>
      <c r="AB20" s="80">
        <v>29.599999999999994</v>
      </c>
      <c r="AC20" s="80">
        <v>0</v>
      </c>
      <c r="AD20" s="78">
        <f t="shared" si="12"/>
        <v>5023000</v>
      </c>
      <c r="AE20" s="83">
        <f t="shared" si="13"/>
        <v>2473000</v>
      </c>
      <c r="AF20" s="42">
        <f t="shared" si="14"/>
        <v>649000</v>
      </c>
      <c r="AG20" s="42"/>
      <c r="AH20" s="42">
        <f t="shared" si="5"/>
        <v>0</v>
      </c>
      <c r="AI20" s="42">
        <f t="shared" si="15"/>
        <v>0</v>
      </c>
      <c r="AJ20" s="42">
        <f t="shared" si="16"/>
        <v>0</v>
      </c>
      <c r="AK20" s="84">
        <f t="shared" si="18"/>
        <v>0</v>
      </c>
      <c r="AL20" s="85">
        <f t="shared" si="1"/>
        <v>2970000</v>
      </c>
      <c r="AM20" s="85">
        <f t="shared" si="2"/>
        <v>0</v>
      </c>
      <c r="AN20" s="85">
        <f t="shared" si="3"/>
        <v>0</v>
      </c>
      <c r="AO20" s="85">
        <f t="shared" si="4"/>
        <v>0</v>
      </c>
      <c r="AP20" s="86"/>
      <c r="AQ20" s="94"/>
      <c r="AR20" s="42">
        <f>E20*(J20+K20)/$A$5</f>
        <v>0</v>
      </c>
      <c r="AS20" s="78"/>
      <c r="AT20" s="78"/>
      <c r="AU20" s="78"/>
      <c r="AV20" s="96"/>
      <c r="AW20" s="89">
        <f t="shared" si="17"/>
        <v>11115000</v>
      </c>
      <c r="AX20" s="40">
        <f t="shared" si="11"/>
        <v>52000</v>
      </c>
      <c r="AY20" s="62">
        <v>571200</v>
      </c>
      <c r="AZ20" s="62">
        <v>107100</v>
      </c>
      <c r="BA20" s="62">
        <v>71400</v>
      </c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>
        <v>180000</v>
      </c>
      <c r="BM20" s="42"/>
      <c r="BN20" s="43">
        <f t="shared" si="7"/>
        <v>981700</v>
      </c>
      <c r="BO20" s="42"/>
      <c r="BP20" s="42"/>
      <c r="BQ20" s="43">
        <f t="shared" si="8"/>
        <v>10133300</v>
      </c>
      <c r="BR20" s="42">
        <v>100000</v>
      </c>
      <c r="BS20" s="42">
        <v>20</v>
      </c>
      <c r="BT20" s="42">
        <f t="shared" si="10"/>
        <v>660000</v>
      </c>
      <c r="BU20" s="43">
        <f t="shared" si="9"/>
        <v>10893300</v>
      </c>
    </row>
    <row r="21" spans="1:74" s="30" customFormat="1" ht="42.75" customHeight="1" x14ac:dyDescent="0.25">
      <c r="A21" s="63">
        <v>11</v>
      </c>
      <c r="B21" s="66" t="s">
        <v>55</v>
      </c>
      <c r="C21" s="74" t="s">
        <v>21</v>
      </c>
      <c r="D21" s="75">
        <v>14700000</v>
      </c>
      <c r="E21" s="79"/>
      <c r="F21" s="77">
        <v>6500000</v>
      </c>
      <c r="G21" s="76">
        <v>7510000</v>
      </c>
      <c r="H21" s="76"/>
      <c r="I21" s="78" t="s">
        <v>18</v>
      </c>
      <c r="J21" s="79">
        <v>20</v>
      </c>
      <c r="K21" s="79">
        <v>2</v>
      </c>
      <c r="L21" s="79">
        <v>0</v>
      </c>
      <c r="M21" s="79">
        <v>0</v>
      </c>
      <c r="N21" s="79"/>
      <c r="O21" s="79">
        <v>0</v>
      </c>
      <c r="P21" s="90">
        <v>0</v>
      </c>
      <c r="Q21" s="81"/>
      <c r="R21" s="81"/>
      <c r="S21" s="81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106</v>
      </c>
      <c r="AC21" s="80">
        <v>73.400000000000006</v>
      </c>
      <c r="AD21" s="78">
        <f t="shared" si="12"/>
        <v>5023000</v>
      </c>
      <c r="AE21" s="83">
        <f t="shared" si="13"/>
        <v>2859000</v>
      </c>
      <c r="AF21" s="42">
        <f t="shared" si="14"/>
        <v>683000</v>
      </c>
      <c r="AG21" s="42"/>
      <c r="AH21" s="42">
        <f t="shared" si="5"/>
        <v>0</v>
      </c>
      <c r="AI21" s="42">
        <f t="shared" si="15"/>
        <v>0</v>
      </c>
      <c r="AJ21" s="42">
        <f t="shared" si="16"/>
        <v>0</v>
      </c>
      <c r="AK21" s="84">
        <f t="shared" si="18"/>
        <v>0</v>
      </c>
      <c r="AL21" s="85">
        <f t="shared" si="1"/>
        <v>4558000</v>
      </c>
      <c r="AM21" s="85">
        <f t="shared" si="2"/>
        <v>3964000</v>
      </c>
      <c r="AN21" s="85">
        <f t="shared" si="3"/>
        <v>0</v>
      </c>
      <c r="AO21" s="85">
        <f t="shared" si="4"/>
        <v>0</v>
      </c>
      <c r="AP21" s="86"/>
      <c r="AQ21" s="94"/>
      <c r="AR21" s="42">
        <f>E21*(J21+K21)/$A$5</f>
        <v>0</v>
      </c>
      <c r="AS21" s="78"/>
      <c r="AT21" s="78"/>
      <c r="AU21" s="78"/>
      <c r="AV21" s="96"/>
      <c r="AW21" s="89">
        <f t="shared" si="17"/>
        <v>17087000</v>
      </c>
      <c r="AX21" s="40">
        <f t="shared" si="11"/>
        <v>81000</v>
      </c>
      <c r="AY21" s="62">
        <v>600800</v>
      </c>
      <c r="AZ21" s="62">
        <v>112650</v>
      </c>
      <c r="BA21" s="62">
        <v>75100</v>
      </c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>
        <v>180000</v>
      </c>
      <c r="BM21" s="42"/>
      <c r="BN21" s="43">
        <f t="shared" si="7"/>
        <v>1049550</v>
      </c>
      <c r="BO21" s="42"/>
      <c r="BP21" s="42"/>
      <c r="BQ21" s="43">
        <f t="shared" si="8"/>
        <v>16037450</v>
      </c>
      <c r="BR21" s="42">
        <v>100000</v>
      </c>
      <c r="BS21" s="42">
        <v>20</v>
      </c>
      <c r="BT21" s="42">
        <f t="shared" si="10"/>
        <v>660000</v>
      </c>
      <c r="BU21" s="43">
        <f t="shared" si="9"/>
        <v>16797450</v>
      </c>
    </row>
    <row r="22" spans="1:74" s="30" customFormat="1" ht="42.75" customHeight="1" x14ac:dyDescent="0.25">
      <c r="A22" s="63">
        <v>12</v>
      </c>
      <c r="B22" s="66" t="s">
        <v>94</v>
      </c>
      <c r="C22" s="74" t="s">
        <v>105</v>
      </c>
      <c r="D22" s="75">
        <v>13690000</v>
      </c>
      <c r="E22" s="79"/>
      <c r="F22" s="77">
        <v>6500000</v>
      </c>
      <c r="G22" s="76">
        <v>6800000</v>
      </c>
      <c r="H22" s="76"/>
      <c r="I22" s="78" t="s">
        <v>18</v>
      </c>
      <c r="J22" s="79">
        <v>20</v>
      </c>
      <c r="K22" s="79">
        <v>2</v>
      </c>
      <c r="L22" s="79">
        <v>0</v>
      </c>
      <c r="M22" s="79">
        <v>0</v>
      </c>
      <c r="N22" s="79"/>
      <c r="O22" s="79"/>
      <c r="P22" s="90">
        <v>80.75</v>
      </c>
      <c r="Q22" s="81"/>
      <c r="R22" s="81"/>
      <c r="S22" s="81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78">
        <f t="shared" si="12"/>
        <v>5023000</v>
      </c>
      <c r="AE22" s="83">
        <f t="shared" si="13"/>
        <v>2079000</v>
      </c>
      <c r="AF22" s="42">
        <f>ROUND(G22*(K22)/$A$5,-3)</f>
        <v>618000</v>
      </c>
      <c r="AG22" s="42"/>
      <c r="AH22" s="42">
        <f t="shared" si="5"/>
        <v>0</v>
      </c>
      <c r="AI22" s="42">
        <f>ROUND(G22*(L22)/$A$5,-3)</f>
        <v>0</v>
      </c>
      <c r="AJ22" s="42">
        <f>ROUND(G22*N22/$A$5*85%,-3)</f>
        <v>0</v>
      </c>
      <c r="AK22" s="84">
        <f t="shared" si="18"/>
        <v>25517000</v>
      </c>
      <c r="AL22" s="85">
        <f t="shared" si="1"/>
        <v>0</v>
      </c>
      <c r="AM22" s="85">
        <f t="shared" si="2"/>
        <v>0</v>
      </c>
      <c r="AN22" s="85">
        <f t="shared" si="3"/>
        <v>0</v>
      </c>
      <c r="AO22" s="85">
        <f t="shared" si="4"/>
        <v>0</v>
      </c>
      <c r="AP22" s="86"/>
      <c r="AQ22" s="94"/>
      <c r="AR22" s="42"/>
      <c r="AS22" s="78"/>
      <c r="AT22" s="78"/>
      <c r="AU22" s="78"/>
      <c r="AV22" s="96"/>
      <c r="AW22" s="89">
        <f t="shared" si="17"/>
        <v>33237000</v>
      </c>
      <c r="AX22" s="40">
        <f t="shared" si="11"/>
        <v>163000</v>
      </c>
      <c r="AY22" s="62">
        <v>544000</v>
      </c>
      <c r="AZ22" s="62">
        <v>102000</v>
      </c>
      <c r="BA22" s="62">
        <v>68000</v>
      </c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>
        <v>180000</v>
      </c>
      <c r="BM22" s="42"/>
      <c r="BN22" s="43">
        <f t="shared" si="7"/>
        <v>1057000</v>
      </c>
      <c r="BO22" s="42"/>
      <c r="BP22" s="42"/>
      <c r="BQ22" s="43">
        <f t="shared" si="8"/>
        <v>32180000</v>
      </c>
      <c r="BR22" s="42">
        <v>100000</v>
      </c>
      <c r="BS22" s="42">
        <v>20</v>
      </c>
      <c r="BT22" s="42">
        <f t="shared" si="10"/>
        <v>660000</v>
      </c>
      <c r="BU22" s="43">
        <f t="shared" si="9"/>
        <v>32940000</v>
      </c>
      <c r="BV22" s="29"/>
    </row>
    <row r="23" spans="1:74" s="29" customFormat="1" ht="42.75" customHeight="1" x14ac:dyDescent="0.25">
      <c r="A23" s="63">
        <v>13</v>
      </c>
      <c r="B23" s="64" t="s">
        <v>41</v>
      </c>
      <c r="C23" s="74" t="s">
        <v>21</v>
      </c>
      <c r="D23" s="75">
        <v>14700000</v>
      </c>
      <c r="E23" s="76"/>
      <c r="F23" s="77">
        <v>6500000</v>
      </c>
      <c r="G23" s="76">
        <v>7510000</v>
      </c>
      <c r="H23" s="76"/>
      <c r="I23" s="78" t="s">
        <v>18</v>
      </c>
      <c r="J23" s="79">
        <v>20</v>
      </c>
      <c r="K23" s="79">
        <v>2</v>
      </c>
      <c r="L23" s="79">
        <v>0</v>
      </c>
      <c r="M23" s="79">
        <v>0</v>
      </c>
      <c r="N23" s="79"/>
      <c r="O23" s="79">
        <v>0</v>
      </c>
      <c r="P23" s="90">
        <v>0</v>
      </c>
      <c r="Q23" s="81"/>
      <c r="R23" s="81"/>
      <c r="S23" s="81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91</v>
      </c>
      <c r="AA23" s="80">
        <v>0</v>
      </c>
      <c r="AB23" s="80">
        <v>30</v>
      </c>
      <c r="AC23" s="80">
        <v>0</v>
      </c>
      <c r="AD23" s="78">
        <f>ROUND(F23*(J23)/$A$5*$B$5,-3)</f>
        <v>5023000</v>
      </c>
      <c r="AE23" s="83">
        <f>ROUND(IF(I23="A",(D23-F23-4500000)*(J23)/$A$5*$B$5,IF(I23="B",(D23-F23-4500000)*0.5*(J23)/$A$5*$B$5,IF(I23="C",0))),-3)</f>
        <v>2859000</v>
      </c>
      <c r="AF23" s="42">
        <f>ROUND(G23*(K23)/$A$5,-3)</f>
        <v>683000</v>
      </c>
      <c r="AG23" s="42"/>
      <c r="AH23" s="42"/>
      <c r="AI23" s="42">
        <f>ROUND(G23*(L23)/$A$5,-3)</f>
        <v>0</v>
      </c>
      <c r="AJ23" s="42"/>
      <c r="AK23" s="84">
        <f>ROUND(P23*316000,-3)</f>
        <v>0</v>
      </c>
      <c r="AL23" s="85">
        <f>ROUND((X23*43000+Z23*43000+AB23*43000),-3)</f>
        <v>5203000</v>
      </c>
      <c r="AM23" s="85">
        <f>ROUND((AC23*54000+AA23*54000+Y23*57000),-3)</f>
        <v>0</v>
      </c>
      <c r="AN23" s="85">
        <f>ROUND((T23*43000+V23*43000),-3)</f>
        <v>0</v>
      </c>
      <c r="AO23" s="85">
        <f>ROUND((U23*48600+W23*52000),-3)</f>
        <v>0</v>
      </c>
      <c r="AP23" s="86"/>
      <c r="AQ23" s="94"/>
      <c r="AR23" s="42"/>
      <c r="AS23" s="42"/>
      <c r="AT23" s="42"/>
      <c r="AU23" s="42"/>
      <c r="AV23" s="95"/>
      <c r="AW23" s="89">
        <f>ROUND(SUM(AD23:AU23)-AV23,-3)</f>
        <v>13768000</v>
      </c>
      <c r="AX23" s="40">
        <f>ROUND(IF((AW23-AY23-AZ23-BA23-BM23)*0.5%&lt;234000,(AW23-AY23-AZ23-BA23-BM23)*0.5%,234000),-3)</f>
        <v>65000</v>
      </c>
      <c r="AY23" s="62">
        <v>600800</v>
      </c>
      <c r="AZ23" s="62">
        <v>112650</v>
      </c>
      <c r="BA23" s="62">
        <v>75100</v>
      </c>
      <c r="BB23" s="42"/>
      <c r="BC23" s="42"/>
      <c r="BD23" s="42"/>
      <c r="BE23" s="42"/>
      <c r="BF23" s="42"/>
      <c r="BG23" s="42"/>
      <c r="BH23" s="42"/>
      <c r="BI23" s="42"/>
      <c r="BJ23" s="42"/>
      <c r="BK23" s="42">
        <v>1721400</v>
      </c>
      <c r="BL23" s="42">
        <v>180000</v>
      </c>
      <c r="BM23" s="42"/>
      <c r="BN23" s="43">
        <f t="shared" si="7"/>
        <v>2754950</v>
      </c>
      <c r="BO23" s="42"/>
      <c r="BP23" s="42"/>
      <c r="BQ23" s="43">
        <f t="shared" si="8"/>
        <v>11013050</v>
      </c>
      <c r="BR23" s="42">
        <v>100000</v>
      </c>
      <c r="BS23" s="42">
        <v>20</v>
      </c>
      <c r="BT23" s="42">
        <f t="shared" si="10"/>
        <v>660000</v>
      </c>
      <c r="BU23" s="43">
        <f t="shared" si="9"/>
        <v>11773050</v>
      </c>
    </row>
    <row r="24" spans="1:74" s="29" customFormat="1" ht="42.75" customHeight="1" x14ac:dyDescent="0.25">
      <c r="A24" s="63">
        <v>14</v>
      </c>
      <c r="B24" s="64" t="s">
        <v>25</v>
      </c>
      <c r="C24" s="74" t="s">
        <v>51</v>
      </c>
      <c r="D24" s="79">
        <v>9160000</v>
      </c>
      <c r="E24" s="79"/>
      <c r="F24" s="77">
        <v>6500000</v>
      </c>
      <c r="G24" s="76">
        <v>6450000</v>
      </c>
      <c r="H24" s="76"/>
      <c r="I24" s="78" t="s">
        <v>18</v>
      </c>
      <c r="J24" s="79">
        <v>20</v>
      </c>
      <c r="K24" s="79">
        <v>2</v>
      </c>
      <c r="L24" s="79">
        <v>0</v>
      </c>
      <c r="M24" s="79">
        <v>0</v>
      </c>
      <c r="N24" s="79"/>
      <c r="O24" s="79">
        <v>0</v>
      </c>
      <c r="P24" s="90">
        <v>76.5</v>
      </c>
      <c r="Q24" s="81"/>
      <c r="R24" s="81"/>
      <c r="S24" s="81">
        <v>0</v>
      </c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78">
        <f>ROUND(F24*(J24)/$A$5,-3)</f>
        <v>5909000</v>
      </c>
      <c r="AE24" s="83">
        <f>ROUND(IF(I24="A",(D24-F24)*(J24)/$A$5,IF(I24="B",(D24-F24)*0.5*(J24)/$A$5*$B$5,IF(I24="C",0))),-3)</f>
        <v>2418000</v>
      </c>
      <c r="AF24" s="42">
        <f t="shared" si="14"/>
        <v>586000</v>
      </c>
      <c r="AG24" s="42"/>
      <c r="AH24" s="42">
        <f t="shared" si="5"/>
        <v>0</v>
      </c>
      <c r="AI24" s="42">
        <f>ROUND(G24*(L24)/$A$5,-3)</f>
        <v>0</v>
      </c>
      <c r="AJ24" s="42">
        <f t="shared" si="16"/>
        <v>0</v>
      </c>
      <c r="AK24" s="84">
        <f t="shared" si="18"/>
        <v>24174000</v>
      </c>
      <c r="AL24" s="85">
        <f>ROUND((X24*39000+Z24*39000+AB24*39000),-3)</f>
        <v>0</v>
      </c>
      <c r="AM24" s="85">
        <f>ROUND((AC24*52000+AA24*48600+Y24*52000),-3)</f>
        <v>0</v>
      </c>
      <c r="AN24" s="85">
        <f>ROUND((T24*39000+V24*39000),-3)</f>
        <v>0</v>
      </c>
      <c r="AO24" s="85">
        <f t="shared" si="4"/>
        <v>0</v>
      </c>
      <c r="AP24" s="86"/>
      <c r="AQ24" s="94"/>
      <c r="AR24" s="42">
        <f>E24*(J24+K24)/$A$5</f>
        <v>0</v>
      </c>
      <c r="AS24" s="42"/>
      <c r="AT24" s="42"/>
      <c r="AU24" s="42"/>
      <c r="AV24" s="96"/>
      <c r="AW24" s="89">
        <f t="shared" si="17"/>
        <v>33087000</v>
      </c>
      <c r="AX24" s="40">
        <f t="shared" si="11"/>
        <v>162000</v>
      </c>
      <c r="AY24" s="62">
        <v>516000</v>
      </c>
      <c r="AZ24" s="62">
        <v>96750</v>
      </c>
      <c r="BA24" s="62">
        <v>64500</v>
      </c>
      <c r="BB24" s="42"/>
      <c r="BC24" s="42"/>
      <c r="BD24" s="42"/>
      <c r="BE24" s="42"/>
      <c r="BF24" s="42"/>
      <c r="BG24" s="42"/>
      <c r="BH24" s="42"/>
      <c r="BI24" s="42"/>
      <c r="BJ24" s="42"/>
      <c r="BK24" s="42">
        <v>1721400</v>
      </c>
      <c r="BL24" s="42">
        <v>180000</v>
      </c>
      <c r="BM24" s="42"/>
      <c r="BN24" s="43">
        <f t="shared" si="7"/>
        <v>2740650</v>
      </c>
      <c r="BO24" s="42"/>
      <c r="BP24" s="42"/>
      <c r="BQ24" s="43">
        <f t="shared" si="8"/>
        <v>30346350</v>
      </c>
      <c r="BR24" s="42">
        <v>100000</v>
      </c>
      <c r="BS24" s="42">
        <v>20</v>
      </c>
      <c r="BT24" s="42">
        <f t="shared" si="10"/>
        <v>660000</v>
      </c>
      <c r="BU24" s="43">
        <f t="shared" si="9"/>
        <v>31106350</v>
      </c>
    </row>
    <row r="25" spans="1:74" s="29" customFormat="1" ht="42.75" customHeight="1" x14ac:dyDescent="0.25">
      <c r="A25" s="63">
        <v>15</v>
      </c>
      <c r="B25" s="66" t="s">
        <v>43</v>
      </c>
      <c r="C25" s="74" t="s">
        <v>51</v>
      </c>
      <c r="D25" s="79">
        <v>8740000</v>
      </c>
      <c r="E25" s="79"/>
      <c r="F25" s="77">
        <v>6500000</v>
      </c>
      <c r="G25" s="76">
        <v>6140000</v>
      </c>
      <c r="H25" s="76"/>
      <c r="I25" s="78" t="s">
        <v>18</v>
      </c>
      <c r="J25" s="79">
        <v>20</v>
      </c>
      <c r="K25" s="79">
        <v>2</v>
      </c>
      <c r="L25" s="79">
        <v>0</v>
      </c>
      <c r="M25" s="79">
        <v>0</v>
      </c>
      <c r="N25" s="79"/>
      <c r="O25" s="79"/>
      <c r="P25" s="90">
        <v>74.5</v>
      </c>
      <c r="Q25" s="81"/>
      <c r="R25" s="81"/>
      <c r="S25" s="81">
        <v>0</v>
      </c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78">
        <f>ROUND(F25*(J25)/$A$5,-3)</f>
        <v>5909000</v>
      </c>
      <c r="AE25" s="83">
        <f>ROUND(IF(I25="A",(D25-F25)*(J25)/$A$5,IF(I25="B",(D25-F25)*0.5*(J25)/$A$5*$B$5,IF(I25="C",0))),-3)</f>
        <v>2036000</v>
      </c>
      <c r="AF25" s="42">
        <f t="shared" si="14"/>
        <v>558000</v>
      </c>
      <c r="AG25" s="42"/>
      <c r="AH25" s="42">
        <f t="shared" si="5"/>
        <v>0</v>
      </c>
      <c r="AI25" s="42">
        <f>ROUND(G25*(L25)/$A$5,-3)</f>
        <v>0</v>
      </c>
      <c r="AJ25" s="42">
        <f t="shared" si="16"/>
        <v>0</v>
      </c>
      <c r="AK25" s="84">
        <f t="shared" si="18"/>
        <v>23542000</v>
      </c>
      <c r="AL25" s="85">
        <f>ROUND((X25*39000+Z25*39000+AB25*39000),-3)</f>
        <v>0</v>
      </c>
      <c r="AM25" s="85">
        <f>ROUND((AC25*52000+AA25*48600+Y25*52000),-3)</f>
        <v>0</v>
      </c>
      <c r="AN25" s="85">
        <f>ROUND((T25*39000+V25*39000),-3)</f>
        <v>0</v>
      </c>
      <c r="AO25" s="85">
        <f t="shared" si="4"/>
        <v>0</v>
      </c>
      <c r="AP25" s="86"/>
      <c r="AQ25" s="91"/>
      <c r="AR25" s="42">
        <f>E25*(J25+K25)/$A$5</f>
        <v>0</v>
      </c>
      <c r="AS25" s="42"/>
      <c r="AT25" s="42"/>
      <c r="AU25" s="42"/>
      <c r="AV25" s="96"/>
      <c r="AW25" s="89">
        <f t="shared" si="17"/>
        <v>32045000</v>
      </c>
      <c r="AX25" s="40">
        <f t="shared" si="11"/>
        <v>156000</v>
      </c>
      <c r="AY25" s="62">
        <v>491200</v>
      </c>
      <c r="AZ25" s="62">
        <v>92100</v>
      </c>
      <c r="BA25" s="62">
        <v>61400</v>
      </c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>
        <v>180000</v>
      </c>
      <c r="BM25" s="42">
        <v>150000</v>
      </c>
      <c r="BN25" s="43">
        <f t="shared" si="7"/>
        <v>1130700</v>
      </c>
      <c r="BO25" s="42"/>
      <c r="BP25" s="42"/>
      <c r="BQ25" s="43">
        <f t="shared" si="8"/>
        <v>30914300</v>
      </c>
      <c r="BR25" s="42">
        <v>100000</v>
      </c>
      <c r="BS25" s="42">
        <v>20</v>
      </c>
      <c r="BT25" s="42">
        <f t="shared" si="10"/>
        <v>660000</v>
      </c>
      <c r="BU25" s="43">
        <f t="shared" si="9"/>
        <v>31674300</v>
      </c>
    </row>
    <row r="26" spans="1:74" s="29" customFormat="1" ht="42.75" customHeight="1" x14ac:dyDescent="0.25">
      <c r="A26" s="71">
        <v>16</v>
      </c>
      <c r="B26" s="72" t="s">
        <v>50</v>
      </c>
      <c r="C26" s="97" t="s">
        <v>51</v>
      </c>
      <c r="D26" s="98">
        <v>8740000</v>
      </c>
      <c r="E26" s="98"/>
      <c r="F26" s="99">
        <v>6500000</v>
      </c>
      <c r="G26" s="100">
        <v>6140000</v>
      </c>
      <c r="H26" s="100"/>
      <c r="I26" s="101" t="s">
        <v>18</v>
      </c>
      <c r="J26" s="98">
        <v>18</v>
      </c>
      <c r="K26" s="98">
        <v>2</v>
      </c>
      <c r="L26" s="98">
        <v>0</v>
      </c>
      <c r="M26" s="98">
        <v>0</v>
      </c>
      <c r="N26" s="98"/>
      <c r="O26" s="98">
        <v>0</v>
      </c>
      <c r="P26" s="102">
        <v>74.25</v>
      </c>
      <c r="Q26" s="103"/>
      <c r="R26" s="103"/>
      <c r="S26" s="103">
        <v>2</v>
      </c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1">
        <f>ROUND(F26*(J26)/$A$5,-3)</f>
        <v>5318000</v>
      </c>
      <c r="AE26" s="105">
        <f>ROUND(IF(I26="A",(D26-F26)*(J26)/$A$5,IF(I26="B",(D26-F26)*0.5*(J26)/$A$5*$B$5,IF(I26="C",0))),-3)</f>
        <v>1833000</v>
      </c>
      <c r="AF26" s="69">
        <f t="shared" si="14"/>
        <v>558000</v>
      </c>
      <c r="AG26" s="69"/>
      <c r="AH26" s="69">
        <f t="shared" si="5"/>
        <v>0</v>
      </c>
      <c r="AI26" s="69">
        <f>ROUND(G26*(L26)/$A$5,-3)</f>
        <v>0</v>
      </c>
      <c r="AJ26" s="69">
        <f t="shared" si="16"/>
        <v>0</v>
      </c>
      <c r="AK26" s="106">
        <f t="shared" si="18"/>
        <v>23463000</v>
      </c>
      <c r="AL26" s="107">
        <f>ROUND((X26*39000+Z26*39000+AB26*39000),-3)</f>
        <v>0</v>
      </c>
      <c r="AM26" s="107">
        <f>ROUND((AC26*52000+AA26*48600+Y26*52000),-3)</f>
        <v>0</v>
      </c>
      <c r="AN26" s="107">
        <f>ROUND((T26*39000+V26*39000),-3)</f>
        <v>0</v>
      </c>
      <c r="AO26" s="107">
        <f t="shared" si="4"/>
        <v>0</v>
      </c>
      <c r="AP26" s="108"/>
      <c r="AQ26" s="109"/>
      <c r="AR26" s="69">
        <f>E26*(J26+K26)/$A$5</f>
        <v>0</v>
      </c>
      <c r="AS26" s="101"/>
      <c r="AT26" s="101"/>
      <c r="AU26" s="101"/>
      <c r="AV26" s="110"/>
      <c r="AW26" s="111">
        <f t="shared" si="17"/>
        <v>31172000</v>
      </c>
      <c r="AX26" s="67">
        <f t="shared" si="11"/>
        <v>152000</v>
      </c>
      <c r="AY26" s="68">
        <v>491200</v>
      </c>
      <c r="AZ26" s="68">
        <v>92100</v>
      </c>
      <c r="BA26" s="68">
        <v>61400</v>
      </c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>
        <v>180000</v>
      </c>
      <c r="BM26" s="69">
        <v>120000</v>
      </c>
      <c r="BN26" s="70">
        <f t="shared" si="7"/>
        <v>1096700</v>
      </c>
      <c r="BO26" s="69"/>
      <c r="BP26" s="69"/>
      <c r="BQ26" s="70">
        <f t="shared" si="8"/>
        <v>30075300</v>
      </c>
      <c r="BR26" s="69">
        <v>100000</v>
      </c>
      <c r="BS26" s="69">
        <v>18</v>
      </c>
      <c r="BT26" s="69">
        <f t="shared" si="10"/>
        <v>594000</v>
      </c>
      <c r="BU26" s="70">
        <f t="shared" si="9"/>
        <v>30769300</v>
      </c>
      <c r="BV26" s="26"/>
    </row>
    <row r="27" spans="1:74" s="31" customFormat="1" ht="42.75" customHeight="1" x14ac:dyDescent="0.25">
      <c r="A27" s="73"/>
      <c r="B27" s="73" t="s">
        <v>26</v>
      </c>
      <c r="C27" s="112"/>
      <c r="D27" s="113">
        <f t="shared" ref="D27:BO27" si="19">SUM(D11:D26)</f>
        <v>215260000</v>
      </c>
      <c r="E27" s="113">
        <f t="shared" si="19"/>
        <v>1470000</v>
      </c>
      <c r="F27" s="113">
        <f t="shared" si="19"/>
        <v>104000000</v>
      </c>
      <c r="G27" s="113">
        <f t="shared" si="19"/>
        <v>115510000</v>
      </c>
      <c r="H27" s="113">
        <f t="shared" si="19"/>
        <v>1470000</v>
      </c>
      <c r="I27" s="113">
        <f t="shared" si="19"/>
        <v>0</v>
      </c>
      <c r="J27" s="113">
        <f t="shared" si="19"/>
        <v>317</v>
      </c>
      <c r="K27" s="113">
        <f t="shared" si="19"/>
        <v>32</v>
      </c>
      <c r="L27" s="113">
        <f t="shared" si="19"/>
        <v>0</v>
      </c>
      <c r="M27" s="113">
        <f t="shared" si="19"/>
        <v>0</v>
      </c>
      <c r="N27" s="113">
        <f t="shared" si="19"/>
        <v>0</v>
      </c>
      <c r="O27" s="113">
        <f t="shared" si="19"/>
        <v>0</v>
      </c>
      <c r="P27" s="113">
        <f t="shared" si="19"/>
        <v>438</v>
      </c>
      <c r="Q27" s="113">
        <f t="shared" si="19"/>
        <v>0</v>
      </c>
      <c r="R27" s="113">
        <f t="shared" si="19"/>
        <v>0</v>
      </c>
      <c r="S27" s="114">
        <f t="shared" si="19"/>
        <v>3</v>
      </c>
      <c r="T27" s="113">
        <f t="shared" si="19"/>
        <v>0</v>
      </c>
      <c r="U27" s="113">
        <f t="shared" si="19"/>
        <v>0</v>
      </c>
      <c r="V27" s="113">
        <f t="shared" si="19"/>
        <v>0</v>
      </c>
      <c r="W27" s="113">
        <f t="shared" si="19"/>
        <v>0</v>
      </c>
      <c r="X27" s="114">
        <f t="shared" si="19"/>
        <v>7.7833333333333314</v>
      </c>
      <c r="Y27" s="113">
        <f t="shared" si="19"/>
        <v>0</v>
      </c>
      <c r="Z27" s="114">
        <f t="shared" si="19"/>
        <v>221.76666666666668</v>
      </c>
      <c r="AA27" s="113">
        <f t="shared" si="19"/>
        <v>0</v>
      </c>
      <c r="AB27" s="114">
        <f t="shared" si="19"/>
        <v>313.33333333333337</v>
      </c>
      <c r="AC27" s="113">
        <f t="shared" si="19"/>
        <v>108.4</v>
      </c>
      <c r="AD27" s="113">
        <f t="shared" si="19"/>
        <v>83661000</v>
      </c>
      <c r="AE27" s="113">
        <f t="shared" si="19"/>
        <v>47221000</v>
      </c>
      <c r="AF27" s="113">
        <f t="shared" si="19"/>
        <v>9598000</v>
      </c>
      <c r="AG27" s="113">
        <f t="shared" si="19"/>
        <v>0</v>
      </c>
      <c r="AH27" s="113">
        <f t="shared" si="19"/>
        <v>0</v>
      </c>
      <c r="AI27" s="113">
        <f t="shared" si="19"/>
        <v>0</v>
      </c>
      <c r="AJ27" s="113">
        <f t="shared" si="19"/>
        <v>0</v>
      </c>
      <c r="AK27" s="113">
        <f t="shared" si="19"/>
        <v>138408000</v>
      </c>
      <c r="AL27" s="113">
        <f t="shared" si="19"/>
        <v>23344000</v>
      </c>
      <c r="AM27" s="113">
        <f t="shared" si="19"/>
        <v>5854000</v>
      </c>
      <c r="AN27" s="113">
        <f t="shared" si="19"/>
        <v>0</v>
      </c>
      <c r="AO27" s="113">
        <f t="shared" si="19"/>
        <v>0</v>
      </c>
      <c r="AP27" s="113">
        <f t="shared" si="19"/>
        <v>0</v>
      </c>
      <c r="AQ27" s="113">
        <f t="shared" si="19"/>
        <v>1470000</v>
      </c>
      <c r="AR27" s="113">
        <f t="shared" si="19"/>
        <v>0</v>
      </c>
      <c r="AS27" s="113">
        <f t="shared" si="19"/>
        <v>0</v>
      </c>
      <c r="AT27" s="113">
        <f t="shared" si="19"/>
        <v>0</v>
      </c>
      <c r="AU27" s="113">
        <f t="shared" si="19"/>
        <v>0</v>
      </c>
      <c r="AV27" s="113">
        <f t="shared" si="19"/>
        <v>0</v>
      </c>
      <c r="AW27" s="113">
        <f t="shared" si="19"/>
        <v>309556000</v>
      </c>
      <c r="AX27" s="113">
        <f t="shared" si="19"/>
        <v>1481000</v>
      </c>
      <c r="AY27" s="113">
        <f t="shared" si="19"/>
        <v>9358400</v>
      </c>
      <c r="AZ27" s="113">
        <f t="shared" si="19"/>
        <v>1754700</v>
      </c>
      <c r="BA27" s="113">
        <f t="shared" si="19"/>
        <v>1169800</v>
      </c>
      <c r="BB27" s="113">
        <f t="shared" si="19"/>
        <v>0</v>
      </c>
      <c r="BC27" s="113">
        <f t="shared" si="19"/>
        <v>0</v>
      </c>
      <c r="BD27" s="113">
        <f t="shared" si="19"/>
        <v>0</v>
      </c>
      <c r="BE27" s="113">
        <f t="shared" si="19"/>
        <v>0</v>
      </c>
      <c r="BF27" s="113">
        <f t="shared" si="19"/>
        <v>0</v>
      </c>
      <c r="BG27" s="113">
        <f t="shared" si="19"/>
        <v>0</v>
      </c>
      <c r="BH27" s="113">
        <f t="shared" si="19"/>
        <v>0</v>
      </c>
      <c r="BI27" s="113">
        <f t="shared" si="19"/>
        <v>0</v>
      </c>
      <c r="BJ27" s="113">
        <f t="shared" si="19"/>
        <v>2022000</v>
      </c>
      <c r="BK27" s="113">
        <f t="shared" si="19"/>
        <v>3442800</v>
      </c>
      <c r="BL27" s="113">
        <f t="shared" si="19"/>
        <v>2700000</v>
      </c>
      <c r="BM27" s="113">
        <f t="shared" si="19"/>
        <v>1120000</v>
      </c>
      <c r="BN27" s="113">
        <f t="shared" si="19"/>
        <v>23048700</v>
      </c>
      <c r="BO27" s="113">
        <f t="shared" si="19"/>
        <v>0</v>
      </c>
      <c r="BP27" s="113">
        <f t="shared" ref="BP27:BU27" si="20">SUM(BP11:BP26)</f>
        <v>160000</v>
      </c>
      <c r="BQ27" s="113">
        <f t="shared" si="20"/>
        <v>286667300</v>
      </c>
      <c r="BR27" s="113">
        <f t="shared" si="20"/>
        <v>1600000</v>
      </c>
      <c r="BS27" s="113">
        <f t="shared" si="20"/>
        <v>317</v>
      </c>
      <c r="BT27" s="113">
        <f t="shared" si="20"/>
        <v>10461000</v>
      </c>
      <c r="BU27" s="113">
        <f t="shared" si="20"/>
        <v>298728300</v>
      </c>
    </row>
    <row r="28" spans="1:74" ht="34.5" customHeight="1" x14ac:dyDescent="0.25"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45"/>
      <c r="BJ28" s="13"/>
      <c r="BK28" s="13"/>
      <c r="BL28" s="13"/>
      <c r="BM28" s="13"/>
      <c r="BN28" s="45">
        <f>BN27-'[1]T4.26 '!$AU$40</f>
        <v>0</v>
      </c>
      <c r="BO28" s="13"/>
      <c r="BP28" s="13"/>
      <c r="BQ28" s="45"/>
      <c r="BR28" s="13"/>
      <c r="BS28" s="13"/>
      <c r="BT28" s="13"/>
      <c r="BU28" s="13"/>
    </row>
    <row r="29" spans="1:74" ht="34.5" customHeight="1" x14ac:dyDescent="0.25">
      <c r="AX29" s="26"/>
      <c r="AY29" s="26"/>
      <c r="AZ29" s="2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7">
        <f>BQ27+BN27-BO27</f>
        <v>309716000</v>
      </c>
      <c r="BR29" s="46"/>
      <c r="BS29" s="46"/>
      <c r="BT29" s="46"/>
      <c r="BU29" s="47">
        <f>BU27-BT27-BQ27</f>
        <v>1600000</v>
      </c>
    </row>
    <row r="30" spans="1:74" ht="34.5" customHeight="1" x14ac:dyDescent="0.25"/>
    <row r="40" spans="74:74" x14ac:dyDescent="0.25">
      <c r="BV40" s="37"/>
    </row>
    <row r="41" spans="74:74" x14ac:dyDescent="0.25">
      <c r="BV41" s="37"/>
    </row>
    <row r="42" spans="74:74" x14ac:dyDescent="0.25">
      <c r="BV42" s="37"/>
    </row>
    <row r="43" spans="74:74" x14ac:dyDescent="0.25">
      <c r="BV43" s="37"/>
    </row>
    <row r="44" spans="74:74" x14ac:dyDescent="0.25">
      <c r="BV44" s="37"/>
    </row>
    <row r="45" spans="74:74" x14ac:dyDescent="0.25">
      <c r="BV45" s="37"/>
    </row>
    <row r="46" spans="74:74" x14ac:dyDescent="0.25">
      <c r="BV46" s="37"/>
    </row>
    <row r="47" spans="74:74" x14ac:dyDescent="0.25">
      <c r="BV47" s="37"/>
    </row>
    <row r="48" spans="74:74" x14ac:dyDescent="0.25">
      <c r="BV48" s="37"/>
    </row>
    <row r="56" spans="1:74" s="37" customFormat="1" x14ac:dyDescent="0.25">
      <c r="A56" s="32"/>
      <c r="B56" s="26"/>
      <c r="C56" s="26"/>
      <c r="D56" s="26"/>
      <c r="E56" s="26"/>
      <c r="F56" s="26"/>
      <c r="G56" s="26"/>
      <c r="H56" s="26"/>
      <c r="I56" s="33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26"/>
      <c r="AE56" s="26"/>
      <c r="AF56" s="26"/>
      <c r="AG56" s="26"/>
      <c r="AH56" s="26"/>
      <c r="AI56" s="26"/>
      <c r="AJ56" s="26"/>
      <c r="AK56" s="35"/>
      <c r="AL56" s="26"/>
      <c r="AM56" s="26"/>
      <c r="AN56" s="26"/>
      <c r="AO56" s="26"/>
      <c r="AP56" s="26"/>
      <c r="AQ56" s="36"/>
      <c r="AR56" s="26"/>
      <c r="AW56" s="38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6"/>
    </row>
    <row r="57" spans="1:74" s="37" customFormat="1" x14ac:dyDescent="0.25">
      <c r="A57" s="32"/>
      <c r="B57" s="26"/>
      <c r="C57" s="26"/>
      <c r="D57" s="26"/>
      <c r="E57" s="26"/>
      <c r="F57" s="26"/>
      <c r="G57" s="26"/>
      <c r="H57" s="26"/>
      <c r="I57" s="33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26"/>
      <c r="AE57" s="26"/>
      <c r="AF57" s="26"/>
      <c r="AG57" s="26"/>
      <c r="AH57" s="26"/>
      <c r="AI57" s="26"/>
      <c r="AJ57" s="26"/>
      <c r="AK57" s="35"/>
      <c r="AL57" s="26"/>
      <c r="AM57" s="26"/>
      <c r="AN57" s="26"/>
      <c r="AO57" s="26"/>
      <c r="AP57" s="26"/>
      <c r="AQ57" s="36"/>
      <c r="AR57" s="26"/>
      <c r="AW57" s="38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6"/>
    </row>
    <row r="58" spans="1:74" s="37" customFormat="1" x14ac:dyDescent="0.25">
      <c r="A58" s="32"/>
      <c r="B58" s="26"/>
      <c r="C58" s="26"/>
      <c r="D58" s="26"/>
      <c r="E58" s="26"/>
      <c r="F58" s="26"/>
      <c r="G58" s="26"/>
      <c r="H58" s="26"/>
      <c r="I58" s="33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26"/>
      <c r="AE58" s="26"/>
      <c r="AF58" s="26"/>
      <c r="AG58" s="26"/>
      <c r="AH58" s="26"/>
      <c r="AI58" s="26"/>
      <c r="AJ58" s="26"/>
      <c r="AK58" s="35"/>
      <c r="AL58" s="26"/>
      <c r="AM58" s="26"/>
      <c r="AN58" s="26"/>
      <c r="AO58" s="26"/>
      <c r="AP58" s="26"/>
      <c r="AQ58" s="36"/>
      <c r="AR58" s="26"/>
      <c r="AW58" s="38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6"/>
    </row>
    <row r="59" spans="1:74" s="37" customFormat="1" x14ac:dyDescent="0.25">
      <c r="A59" s="32"/>
      <c r="B59" s="26"/>
      <c r="C59" s="26"/>
      <c r="D59" s="26"/>
      <c r="E59" s="26"/>
      <c r="F59" s="26"/>
      <c r="G59" s="26"/>
      <c r="H59" s="26"/>
      <c r="I59" s="33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26"/>
      <c r="AE59" s="26"/>
      <c r="AF59" s="26"/>
      <c r="AG59" s="26"/>
      <c r="AH59" s="26"/>
      <c r="AI59" s="26"/>
      <c r="AJ59" s="26"/>
      <c r="AK59" s="35"/>
      <c r="AL59" s="26"/>
      <c r="AM59" s="26"/>
      <c r="AN59" s="26"/>
      <c r="AO59" s="26"/>
      <c r="AP59" s="26"/>
      <c r="AQ59" s="36"/>
      <c r="AR59" s="26"/>
      <c r="AW59" s="38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6"/>
    </row>
    <row r="60" spans="1:74" s="37" customFormat="1" x14ac:dyDescent="0.25">
      <c r="A60" s="32"/>
      <c r="B60" s="26"/>
      <c r="C60" s="26"/>
      <c r="D60" s="26"/>
      <c r="E60" s="26"/>
      <c r="F60" s="26"/>
      <c r="G60" s="26"/>
      <c r="H60" s="26"/>
      <c r="I60" s="33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26"/>
      <c r="AE60" s="26"/>
      <c r="AF60" s="26"/>
      <c r="AG60" s="26"/>
      <c r="AH60" s="26"/>
      <c r="AI60" s="26"/>
      <c r="AJ60" s="26"/>
      <c r="AK60" s="35"/>
      <c r="AL60" s="26"/>
      <c r="AM60" s="26"/>
      <c r="AN60" s="26"/>
      <c r="AO60" s="26"/>
      <c r="AP60" s="26"/>
      <c r="AQ60" s="36"/>
      <c r="AR60" s="26"/>
      <c r="AW60" s="38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6"/>
    </row>
    <row r="61" spans="1:74" s="37" customFormat="1" x14ac:dyDescent="0.25">
      <c r="A61" s="32"/>
      <c r="B61" s="26"/>
      <c r="C61" s="26"/>
      <c r="D61" s="26"/>
      <c r="E61" s="26"/>
      <c r="F61" s="26"/>
      <c r="G61" s="26"/>
      <c r="H61" s="26"/>
      <c r="I61" s="33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26"/>
      <c r="AE61" s="26"/>
      <c r="AF61" s="26"/>
      <c r="AG61" s="26"/>
      <c r="AH61" s="26"/>
      <c r="AI61" s="26"/>
      <c r="AJ61" s="26"/>
      <c r="AK61" s="35"/>
      <c r="AL61" s="26"/>
      <c r="AM61" s="26"/>
      <c r="AN61" s="26"/>
      <c r="AO61" s="26"/>
      <c r="AP61" s="26"/>
      <c r="AQ61" s="36"/>
      <c r="AR61" s="26"/>
      <c r="AW61" s="38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6"/>
    </row>
    <row r="62" spans="1:74" s="37" customFormat="1" x14ac:dyDescent="0.25">
      <c r="A62" s="32"/>
      <c r="B62" s="26"/>
      <c r="C62" s="26"/>
      <c r="D62" s="26"/>
      <c r="E62" s="26"/>
      <c r="F62" s="26"/>
      <c r="G62" s="26"/>
      <c r="H62" s="26"/>
      <c r="I62" s="33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26"/>
      <c r="AE62" s="26"/>
      <c r="AF62" s="26"/>
      <c r="AG62" s="26"/>
      <c r="AH62" s="26"/>
      <c r="AI62" s="26"/>
      <c r="AJ62" s="26"/>
      <c r="AK62" s="35"/>
      <c r="AL62" s="26"/>
      <c r="AM62" s="26"/>
      <c r="AN62" s="26"/>
      <c r="AO62" s="26"/>
      <c r="AP62" s="26"/>
      <c r="AQ62" s="36"/>
      <c r="AR62" s="26"/>
      <c r="AW62" s="38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6"/>
    </row>
    <row r="63" spans="1:74" s="37" customFormat="1" x14ac:dyDescent="0.25">
      <c r="A63" s="32"/>
      <c r="B63" s="26"/>
      <c r="C63" s="26"/>
      <c r="D63" s="26"/>
      <c r="E63" s="26"/>
      <c r="F63" s="26"/>
      <c r="G63" s="26"/>
      <c r="H63" s="26"/>
      <c r="I63" s="33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26"/>
      <c r="AE63" s="26"/>
      <c r="AF63" s="26"/>
      <c r="AG63" s="26"/>
      <c r="AH63" s="26"/>
      <c r="AI63" s="26"/>
      <c r="AJ63" s="26"/>
      <c r="AK63" s="35"/>
      <c r="AL63" s="26"/>
      <c r="AM63" s="26"/>
      <c r="AN63" s="26"/>
      <c r="AO63" s="26"/>
      <c r="AP63" s="26"/>
      <c r="AQ63" s="36"/>
      <c r="AR63" s="26"/>
      <c r="AW63" s="38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6"/>
    </row>
    <row r="64" spans="1:74" s="37" customFormat="1" x14ac:dyDescent="0.25">
      <c r="A64" s="32"/>
      <c r="B64" s="26"/>
      <c r="C64" s="26"/>
      <c r="D64" s="26"/>
      <c r="E64" s="26"/>
      <c r="F64" s="26"/>
      <c r="G64" s="26"/>
      <c r="H64" s="26"/>
      <c r="I64" s="33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26"/>
      <c r="AE64" s="26"/>
      <c r="AF64" s="26"/>
      <c r="AG64" s="26"/>
      <c r="AH64" s="26"/>
      <c r="AI64" s="26"/>
      <c r="AJ64" s="26"/>
      <c r="AK64" s="35"/>
      <c r="AL64" s="26"/>
      <c r="AM64" s="26"/>
      <c r="AN64" s="26"/>
      <c r="AO64" s="26"/>
      <c r="AP64" s="26"/>
      <c r="AQ64" s="36"/>
      <c r="AR64" s="26"/>
      <c r="AW64" s="38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6"/>
    </row>
  </sheetData>
  <mergeCells count="75">
    <mergeCell ref="F6:F9"/>
    <mergeCell ref="G6:H7"/>
    <mergeCell ref="I6:I9"/>
    <mergeCell ref="A6:A9"/>
    <mergeCell ref="B6:B9"/>
    <mergeCell ref="C6:C9"/>
    <mergeCell ref="D6:D9"/>
    <mergeCell ref="E6:E9"/>
    <mergeCell ref="G8:G9"/>
    <mergeCell ref="H8:H9"/>
    <mergeCell ref="M8:M9"/>
    <mergeCell ref="J6:Q7"/>
    <mergeCell ref="R6:S7"/>
    <mergeCell ref="T6:AC6"/>
    <mergeCell ref="AD6:AV6"/>
    <mergeCell ref="T7:W7"/>
    <mergeCell ref="X7:AC7"/>
    <mergeCell ref="AD7:AN7"/>
    <mergeCell ref="AP7:AP9"/>
    <mergeCell ref="J8:J9"/>
    <mergeCell ref="K8:K9"/>
    <mergeCell ref="L8:L9"/>
    <mergeCell ref="T8:U8"/>
    <mergeCell ref="AQ7:AV7"/>
    <mergeCell ref="AF8:AF9"/>
    <mergeCell ref="AG8:AG9"/>
    <mergeCell ref="AK8:AK9"/>
    <mergeCell ref="V8:W8"/>
    <mergeCell ref="X8:Y8"/>
    <mergeCell ref="Z8:AA8"/>
    <mergeCell ref="AB8:AC8"/>
    <mergeCell ref="AD8:AD9"/>
    <mergeCell ref="AE8:AE9"/>
    <mergeCell ref="N8:N9"/>
    <mergeCell ref="O8:O9"/>
    <mergeCell ref="P8:Q8"/>
    <mergeCell ref="R8:R9"/>
    <mergeCell ref="S8:S9"/>
    <mergeCell ref="BN7:BN9"/>
    <mergeCell ref="AH8:AH9"/>
    <mergeCell ref="AI8:AI9"/>
    <mergeCell ref="AJ8:AJ9"/>
    <mergeCell ref="AU8:AU9"/>
    <mergeCell ref="AV8:AV9"/>
    <mergeCell ref="AL8:AM8"/>
    <mergeCell ref="AN8:AO8"/>
    <mergeCell ref="AQ8:AQ9"/>
    <mergeCell ref="AR8:AR9"/>
    <mergeCell ref="AS8:AS9"/>
    <mergeCell ref="AT8:AT9"/>
    <mergeCell ref="AX7:AX9"/>
    <mergeCell ref="AY7:AY9"/>
    <mergeCell ref="AZ7:AZ9"/>
    <mergeCell ref="AW6:AW9"/>
    <mergeCell ref="BI7:BI9"/>
    <mergeCell ref="BJ7:BJ9"/>
    <mergeCell ref="BK7:BK9"/>
    <mergeCell ref="BL7:BL9"/>
    <mergeCell ref="BM7:BM9"/>
    <mergeCell ref="BT6:BT9"/>
    <mergeCell ref="BU6:BU9"/>
    <mergeCell ref="BA7:BA9"/>
    <mergeCell ref="BB7:BB9"/>
    <mergeCell ref="BC7:BC9"/>
    <mergeCell ref="BD7:BD9"/>
    <mergeCell ref="BE7:BE9"/>
    <mergeCell ref="BF7:BF9"/>
    <mergeCell ref="BG7:BG9"/>
    <mergeCell ref="BH7:BH9"/>
    <mergeCell ref="AX6:BN6"/>
    <mergeCell ref="BO6:BO9"/>
    <mergeCell ref="BP6:BP9"/>
    <mergeCell ref="BQ6:BQ9"/>
    <mergeCell ref="BR6:BR9"/>
    <mergeCell ref="BS6:BS9"/>
  </mergeCells>
  <pageMargins left="0.25" right="0.25" top="0.75" bottom="0.75" header="0.3" footer="0.3"/>
  <pageSetup paperSize="8" scale="4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T4,26</vt:lpstr>
      <vt:lpstr>'T4,26'!Print_Area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2026-06-26T04:29:55Z</dcterms:modified>
</cp:coreProperties>
</file>