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618A37CF-5A6A-4351-8123-925387F7AA0E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T01,26" sheetId="58" state="hidden" r:id="rId1"/>
    <sheet name="T02,26" sheetId="59" state="hidden" r:id="rId2"/>
    <sheet name="T3,26" sheetId="60" state="hidden" r:id="rId3"/>
    <sheet name="T4,26" sheetId="61" state="hidden" r:id="rId4"/>
    <sheet name="T5,26" sheetId="62" r:id="rId5"/>
  </sheets>
  <externalReferences>
    <externalReference r:id="rId6"/>
    <externalReference r:id="rId7"/>
  </externalReferences>
  <definedNames>
    <definedName name="_xlnm.Print_Area" localSheetId="0">'T01,26'!$A$1:$BU$28</definedName>
    <definedName name="_xlnm.Print_Area" localSheetId="1">'T02,26'!$A$1:$BX$28</definedName>
    <definedName name="_xlnm.Print_Area" localSheetId="2">'T3,26'!$A$1:$BU$27</definedName>
    <definedName name="_xlnm.Print_Area" localSheetId="3">'T4,26'!$A$1:$BU$27</definedName>
    <definedName name="_xlnm.Print_Area" localSheetId="4">'T5,26'!$A$1:$BU$27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7" i="62" l="1"/>
  <c r="AY27" i="62"/>
  <c r="AZ27" i="62"/>
  <c r="BA27" i="62"/>
  <c r="BB27" i="62"/>
  <c r="BC27" i="62"/>
  <c r="BD27" i="62"/>
  <c r="BE27" i="62"/>
  <c r="BF27" i="62"/>
  <c r="BG27" i="62"/>
  <c r="BH27" i="62"/>
  <c r="BI27" i="62"/>
  <c r="BJ27" i="62"/>
  <c r="BK27" i="62"/>
  <c r="BL27" i="62"/>
  <c r="BM27" i="62"/>
  <c r="BN27" i="62"/>
  <c r="BO27" i="62"/>
  <c r="BP27" i="62"/>
  <c r="BQ27" i="62"/>
  <c r="BR27" i="62"/>
  <c r="BS27" i="62"/>
  <c r="BT26" i="62"/>
  <c r="AX26" i="62"/>
  <c r="BN26" i="62" s="1"/>
  <c r="BQ26" i="62" s="1"/>
  <c r="BT25" i="62"/>
  <c r="AX25" i="62"/>
  <c r="BN25" i="62" s="1"/>
  <c r="BQ25" i="62" s="1"/>
  <c r="BT24" i="62"/>
  <c r="AX24" i="62"/>
  <c r="BN24" i="62" s="1"/>
  <c r="BQ24" i="62" s="1"/>
  <c r="BU24" i="62" s="1"/>
  <c r="BT23" i="62"/>
  <c r="AX23" i="62"/>
  <c r="BN23" i="62" s="1"/>
  <c r="BQ23" i="62" s="1"/>
  <c r="BU23" i="62" s="1"/>
  <c r="BT22" i="62"/>
  <c r="AX22" i="62"/>
  <c r="BN22" i="62" s="1"/>
  <c r="BQ22" i="62" s="1"/>
  <c r="BT21" i="62"/>
  <c r="AX21" i="62"/>
  <c r="BN21" i="62" s="1"/>
  <c r="BQ21" i="62" s="1"/>
  <c r="BT20" i="62"/>
  <c r="AX20" i="62"/>
  <c r="BN20" i="62" s="1"/>
  <c r="BQ20" i="62" s="1"/>
  <c r="BT19" i="62"/>
  <c r="AX19" i="62"/>
  <c r="BN19" i="62" s="1"/>
  <c r="BQ19" i="62" s="1"/>
  <c r="BU19" i="62" s="1"/>
  <c r="BT18" i="62"/>
  <c r="AX18" i="62"/>
  <c r="BN18" i="62" s="1"/>
  <c r="BQ18" i="62" s="1"/>
  <c r="BU18" i="62" s="1"/>
  <c r="BT17" i="62"/>
  <c r="AX17" i="62"/>
  <c r="BN17" i="62" s="1"/>
  <c r="BQ17" i="62" s="1"/>
  <c r="BU17" i="62" s="1"/>
  <c r="BT16" i="62"/>
  <c r="AX16" i="62"/>
  <c r="BN16" i="62" s="1"/>
  <c r="BQ16" i="62" s="1"/>
  <c r="BT15" i="62"/>
  <c r="AX15" i="62"/>
  <c r="BN15" i="62" s="1"/>
  <c r="BQ15" i="62" s="1"/>
  <c r="BT14" i="62"/>
  <c r="AX14" i="62"/>
  <c r="BN14" i="62" s="1"/>
  <c r="BQ14" i="62" s="1"/>
  <c r="BU14" i="62" s="1"/>
  <c r="BT13" i="62"/>
  <c r="AX13" i="62"/>
  <c r="BN13" i="62" s="1"/>
  <c r="BQ13" i="62" s="1"/>
  <c r="BU13" i="62" s="1"/>
  <c r="BT12" i="62"/>
  <c r="BT27" i="62" s="1"/>
  <c r="AX12" i="62"/>
  <c r="BN12" i="62" s="1"/>
  <c r="BQ12" i="62" s="1"/>
  <c r="BT11" i="62"/>
  <c r="AX11" i="62"/>
  <c r="AV27" i="62"/>
  <c r="AU27" i="62"/>
  <c r="AT27" i="62"/>
  <c r="AS27" i="62"/>
  <c r="AQ27" i="62"/>
  <c r="AP27" i="62"/>
  <c r="AG27" i="62"/>
  <c r="R27" i="62"/>
  <c r="Q27" i="62"/>
  <c r="N27" i="62"/>
  <c r="H27" i="62"/>
  <c r="G27" i="62"/>
  <c r="F27" i="62"/>
  <c r="E27" i="62"/>
  <c r="D27" i="62"/>
  <c r="AR26" i="62"/>
  <c r="AO26" i="62"/>
  <c r="AN26" i="62"/>
  <c r="AM26" i="62"/>
  <c r="AL26" i="62"/>
  <c r="AJ26" i="62"/>
  <c r="AF26" i="62"/>
  <c r="AE26" i="62"/>
  <c r="AD26" i="62"/>
  <c r="AK26" i="62"/>
  <c r="AH26" i="62"/>
  <c r="AI26" i="62"/>
  <c r="AR25" i="62"/>
  <c r="AO25" i="62"/>
  <c r="AN25" i="62"/>
  <c r="AM25" i="62"/>
  <c r="AL25" i="62"/>
  <c r="AJ25" i="62"/>
  <c r="AH25" i="62"/>
  <c r="AF25" i="62"/>
  <c r="AE25" i="62"/>
  <c r="AD25" i="62"/>
  <c r="AK25" i="62"/>
  <c r="AI25" i="62"/>
  <c r="AR24" i="62"/>
  <c r="AO24" i="62"/>
  <c r="AN24" i="62"/>
  <c r="AM24" i="62"/>
  <c r="AL24" i="62"/>
  <c r="AJ24" i="62"/>
  <c r="AH24" i="62"/>
  <c r="AF24" i="62"/>
  <c r="AE24" i="62"/>
  <c r="AD24" i="62"/>
  <c r="AK24" i="62"/>
  <c r="AI24" i="62"/>
  <c r="AO23" i="62"/>
  <c r="AN23" i="62"/>
  <c r="AE23" i="62"/>
  <c r="AD23" i="62"/>
  <c r="AM23" i="62"/>
  <c r="AL23" i="62"/>
  <c r="AK23" i="62"/>
  <c r="AI23" i="62"/>
  <c r="AF23" i="62"/>
  <c r="AO22" i="62"/>
  <c r="AN22" i="62"/>
  <c r="AK22" i="62"/>
  <c r="AJ22" i="62"/>
  <c r="AM22" i="62"/>
  <c r="AL22" i="62"/>
  <c r="AH22" i="62"/>
  <c r="AI22" i="62"/>
  <c r="AF22" i="62"/>
  <c r="AE22" i="62"/>
  <c r="AL21" i="62"/>
  <c r="AK21" i="62"/>
  <c r="AJ21" i="62"/>
  <c r="AI21" i="62"/>
  <c r="AH21" i="62"/>
  <c r="AM21" i="62"/>
  <c r="AN21" i="62"/>
  <c r="AO21" i="62"/>
  <c r="AF21" i="62"/>
  <c r="AE21" i="62"/>
  <c r="AK20" i="62"/>
  <c r="AJ20" i="62"/>
  <c r="AI20" i="62"/>
  <c r="AH20" i="62"/>
  <c r="AM20" i="62"/>
  <c r="AL20" i="62"/>
  <c r="AO20" i="62"/>
  <c r="AN20" i="62"/>
  <c r="AF20" i="62"/>
  <c r="AD20" i="62"/>
  <c r="AE20" i="62"/>
  <c r="AK19" i="62"/>
  <c r="AJ19" i="62"/>
  <c r="AI19" i="62"/>
  <c r="AH19" i="62"/>
  <c r="AF19" i="62"/>
  <c r="AM19" i="62"/>
  <c r="AL19" i="62"/>
  <c r="W27" i="62"/>
  <c r="AO19" i="62"/>
  <c r="AN19" i="62"/>
  <c r="AR19" i="62"/>
  <c r="AE19" i="62"/>
  <c r="AR18" i="62"/>
  <c r="AO18" i="62"/>
  <c r="AN18" i="62"/>
  <c r="AJ18" i="62"/>
  <c r="AF18" i="62"/>
  <c r="AE18" i="62"/>
  <c r="AD18" i="62"/>
  <c r="AM18" i="62"/>
  <c r="AL18" i="62"/>
  <c r="AK18" i="62"/>
  <c r="AH18" i="62"/>
  <c r="AI18" i="62"/>
  <c r="AO17" i="62"/>
  <c r="AN17" i="62"/>
  <c r="AK17" i="62"/>
  <c r="AJ17" i="62"/>
  <c r="AD17" i="62"/>
  <c r="AM17" i="62"/>
  <c r="AL17" i="62"/>
  <c r="AH17" i="62"/>
  <c r="AI17" i="62"/>
  <c r="AF17" i="62"/>
  <c r="AE17" i="62"/>
  <c r="AO16" i="62"/>
  <c r="AN16" i="62"/>
  <c r="AM16" i="62"/>
  <c r="AK16" i="62"/>
  <c r="AJ16" i="62"/>
  <c r="AL16" i="62"/>
  <c r="AH16" i="62"/>
  <c r="AI16" i="62"/>
  <c r="AF16" i="62"/>
  <c r="AE16" i="62"/>
  <c r="AO15" i="62"/>
  <c r="AN15" i="62"/>
  <c r="AM15" i="62"/>
  <c r="AL15" i="62"/>
  <c r="AK15" i="62"/>
  <c r="AJ15" i="62"/>
  <c r="AI15" i="62"/>
  <c r="AH15" i="62"/>
  <c r="AF15" i="62"/>
  <c r="AE15" i="62"/>
  <c r="AJ14" i="62"/>
  <c r="AI14" i="62"/>
  <c r="AH14" i="62"/>
  <c r="AF14" i="62"/>
  <c r="AE14" i="62"/>
  <c r="AD14" i="62"/>
  <c r="AM14" i="62"/>
  <c r="AL14" i="62"/>
  <c r="AO14" i="62"/>
  <c r="AN14" i="62"/>
  <c r="AK14" i="62"/>
  <c r="AO13" i="62"/>
  <c r="AN13" i="62"/>
  <c r="AJ13" i="62"/>
  <c r="AE13" i="62"/>
  <c r="AD13" i="62"/>
  <c r="AM13" i="62"/>
  <c r="AL13" i="62"/>
  <c r="T27" i="62"/>
  <c r="AK13" i="62"/>
  <c r="AH13" i="62"/>
  <c r="AI13" i="62"/>
  <c r="AF13" i="62"/>
  <c r="AO12" i="62"/>
  <c r="AN12" i="62"/>
  <c r="AM12" i="62"/>
  <c r="AK12" i="62"/>
  <c r="AJ12" i="62"/>
  <c r="AC27" i="62"/>
  <c r="AB27" i="62"/>
  <c r="AA27" i="62"/>
  <c r="Z27" i="62"/>
  <c r="Y27" i="62"/>
  <c r="X27" i="62"/>
  <c r="V27" i="62"/>
  <c r="U27" i="62"/>
  <c r="AH12" i="62"/>
  <c r="AI12" i="62"/>
  <c r="AF12" i="62"/>
  <c r="AE12" i="62"/>
  <c r="AO11" i="62"/>
  <c r="AN11" i="62"/>
  <c r="AM11" i="62"/>
  <c r="AL11" i="62"/>
  <c r="AK11" i="62"/>
  <c r="AJ11" i="62"/>
  <c r="S27" i="62"/>
  <c r="P27" i="62"/>
  <c r="O27" i="62"/>
  <c r="AI11" i="62"/>
  <c r="I27" i="62"/>
  <c r="BU12" i="62" l="1"/>
  <c r="BU27" i="62" s="1"/>
  <c r="BU25" i="62"/>
  <c r="BU20" i="62"/>
  <c r="BU26" i="62"/>
  <c r="BU21" i="62"/>
  <c r="BU16" i="62"/>
  <c r="BU22" i="62"/>
  <c r="BU15" i="62"/>
  <c r="BN11" i="62"/>
  <c r="AJ27" i="62"/>
  <c r="AW24" i="62"/>
  <c r="AK27" i="62"/>
  <c r="AW25" i="62"/>
  <c r="AW18" i="62"/>
  <c r="AN27" i="62"/>
  <c r="AO27" i="62"/>
  <c r="AW23" i="62"/>
  <c r="AM27" i="62"/>
  <c r="AI27" i="62"/>
  <c r="AF27" i="62"/>
  <c r="AW26" i="62"/>
  <c r="AW17" i="62"/>
  <c r="AH27" i="62"/>
  <c r="AW13" i="62"/>
  <c r="L27" i="62"/>
  <c r="AD16" i="62"/>
  <c r="AD15" i="62"/>
  <c r="AW15" i="62" s="1"/>
  <c r="AD19" i="62"/>
  <c r="AW19" i="62" s="1"/>
  <c r="AD11" i="62"/>
  <c r="AE11" i="62"/>
  <c r="AW14" i="62"/>
  <c r="AL12" i="62"/>
  <c r="AL27" i="62" s="1"/>
  <c r="J27" i="62"/>
  <c r="AD12" i="62"/>
  <c r="AR16" i="62"/>
  <c r="AD22" i="62"/>
  <c r="AW22" i="62" s="1"/>
  <c r="K27" i="62"/>
  <c r="AR21" i="62"/>
  <c r="AR20" i="62"/>
  <c r="AW20" i="62" s="1"/>
  <c r="AD21" i="62"/>
  <c r="M27" i="62"/>
  <c r="AY27" i="61"/>
  <c r="AZ27" i="61"/>
  <c r="BA27" i="61"/>
  <c r="BB27" i="61"/>
  <c r="BC27" i="61"/>
  <c r="BD27" i="61"/>
  <c r="BE27" i="61"/>
  <c r="BF27" i="61"/>
  <c r="BG27" i="61"/>
  <c r="BH27" i="61"/>
  <c r="BI27" i="61"/>
  <c r="BJ27" i="61"/>
  <c r="BK27" i="61"/>
  <c r="BL27" i="61"/>
  <c r="BM27" i="61"/>
  <c r="BO27" i="61"/>
  <c r="BP27" i="61"/>
  <c r="BR27" i="61"/>
  <c r="BS27" i="61"/>
  <c r="BT26" i="61"/>
  <c r="BT25" i="61"/>
  <c r="BT24" i="61"/>
  <c r="BT23" i="61"/>
  <c r="BT22" i="61"/>
  <c r="BT21" i="61"/>
  <c r="BT20" i="61"/>
  <c r="BT19" i="61"/>
  <c r="BT18" i="61"/>
  <c r="BT17" i="61"/>
  <c r="BT16" i="61"/>
  <c r="BT15" i="61"/>
  <c r="BT14" i="61"/>
  <c r="BT13" i="61"/>
  <c r="BT12" i="61"/>
  <c r="BT27" i="61" s="1"/>
  <c r="BT11" i="61"/>
  <c r="AV27" i="61"/>
  <c r="AU27" i="61"/>
  <c r="AT27" i="61"/>
  <c r="AS27" i="61"/>
  <c r="AQ27" i="61"/>
  <c r="AP27" i="61"/>
  <c r="AG27" i="61"/>
  <c r="R27" i="61"/>
  <c r="Q27" i="61"/>
  <c r="N27" i="61"/>
  <c r="H27" i="61"/>
  <c r="G27" i="61"/>
  <c r="F27" i="61"/>
  <c r="E27" i="61"/>
  <c r="D27" i="61"/>
  <c r="AO26" i="61"/>
  <c r="AN26" i="61"/>
  <c r="AM26" i="61"/>
  <c r="AL26" i="61"/>
  <c r="AJ26" i="61"/>
  <c r="AK26" i="61"/>
  <c r="AH26" i="61"/>
  <c r="AI26" i="61"/>
  <c r="AF26" i="61"/>
  <c r="AO25" i="61"/>
  <c r="AN25" i="61"/>
  <c r="AM25" i="61"/>
  <c r="AL25" i="61"/>
  <c r="AJ25" i="61"/>
  <c r="AK25" i="61"/>
  <c r="AH25" i="61"/>
  <c r="AI25" i="61"/>
  <c r="AF25" i="61"/>
  <c r="AD25" i="61"/>
  <c r="AE25" i="61"/>
  <c r="AO24" i="61"/>
  <c r="AN24" i="61"/>
  <c r="AM24" i="61"/>
  <c r="AL24" i="61"/>
  <c r="AJ24" i="61"/>
  <c r="AK24" i="61"/>
  <c r="AH24" i="61"/>
  <c r="AI24" i="61"/>
  <c r="AF24" i="61"/>
  <c r="AM23" i="61"/>
  <c r="AN23" i="61"/>
  <c r="AK23" i="61"/>
  <c r="AI23" i="61"/>
  <c r="AF23" i="61"/>
  <c r="AE23" i="61"/>
  <c r="AO22" i="61"/>
  <c r="AJ22" i="61"/>
  <c r="AN22" i="61"/>
  <c r="AK22" i="61"/>
  <c r="AH22" i="61"/>
  <c r="AI22" i="61"/>
  <c r="AF22" i="61"/>
  <c r="AD22" i="61"/>
  <c r="AJ21" i="61"/>
  <c r="AL21" i="61"/>
  <c r="AO21" i="61"/>
  <c r="AN21" i="61"/>
  <c r="AK21" i="61"/>
  <c r="AH21" i="61"/>
  <c r="AI21" i="61"/>
  <c r="AD21" i="61"/>
  <c r="AJ20" i="61"/>
  <c r="AM20" i="61"/>
  <c r="AO20" i="61"/>
  <c r="AK20" i="61"/>
  <c r="AH20" i="61"/>
  <c r="AI20" i="61"/>
  <c r="AF20" i="61"/>
  <c r="AE20" i="61"/>
  <c r="AO19" i="61"/>
  <c r="AJ19" i="61"/>
  <c r="AN19" i="61"/>
  <c r="AK19" i="61"/>
  <c r="AH19" i="61"/>
  <c r="AI19" i="61"/>
  <c r="AF19" i="61"/>
  <c r="AE19" i="61"/>
  <c r="AJ18" i="61"/>
  <c r="AN18" i="61"/>
  <c r="AH18" i="61"/>
  <c r="AI18" i="61"/>
  <c r="AF18" i="61"/>
  <c r="AR18" i="61"/>
  <c r="AJ17" i="61"/>
  <c r="AO17" i="61"/>
  <c r="AN17" i="61"/>
  <c r="AK17" i="61"/>
  <c r="AH17" i="61"/>
  <c r="AI17" i="61"/>
  <c r="AF17" i="61"/>
  <c r="AD17" i="61"/>
  <c r="AE17" i="61"/>
  <c r="AJ16" i="61"/>
  <c r="AI16" i="61"/>
  <c r="AO16" i="61"/>
  <c r="AK16" i="61"/>
  <c r="AH16" i="61"/>
  <c r="AF16" i="61"/>
  <c r="AE16" i="61"/>
  <c r="AO15" i="61"/>
  <c r="AN15" i="61"/>
  <c r="AM15" i="61"/>
  <c r="AK15" i="61"/>
  <c r="AJ15" i="61"/>
  <c r="AI15" i="61"/>
  <c r="AH15" i="61"/>
  <c r="AL15" i="61"/>
  <c r="AF15" i="61"/>
  <c r="AJ14" i="61"/>
  <c r="AE14" i="61"/>
  <c r="AO14" i="61"/>
  <c r="AN14" i="61"/>
  <c r="AK14" i="61"/>
  <c r="AH14" i="61"/>
  <c r="AI14" i="61"/>
  <c r="AF14" i="61"/>
  <c r="AD14" i="61"/>
  <c r="AJ13" i="61"/>
  <c r="AO13" i="61"/>
  <c r="AK13" i="61"/>
  <c r="AH13" i="61"/>
  <c r="AI13" i="61"/>
  <c r="AF13" i="61"/>
  <c r="AD13" i="61"/>
  <c r="AJ12" i="61"/>
  <c r="AO12" i="61"/>
  <c r="AH12" i="61"/>
  <c r="AI12" i="61"/>
  <c r="AF12" i="61"/>
  <c r="AD12" i="61"/>
  <c r="AE12" i="61"/>
  <c r="AO11" i="61"/>
  <c r="AN11" i="61"/>
  <c r="AM11" i="61"/>
  <c r="AL11" i="61"/>
  <c r="AK11" i="61"/>
  <c r="AJ11" i="61"/>
  <c r="BQ11" i="62" l="1"/>
  <c r="BN28" i="62"/>
  <c r="AW16" i="62"/>
  <c r="AW12" i="62"/>
  <c r="AE27" i="62"/>
  <c r="AW21" i="62"/>
  <c r="AW11" i="62"/>
  <c r="AD27" i="62"/>
  <c r="AR27" i="62"/>
  <c r="AM13" i="61"/>
  <c r="AL14" i="61"/>
  <c r="AM18" i="61"/>
  <c r="AD20" i="61"/>
  <c r="AD23" i="61"/>
  <c r="O27" i="61"/>
  <c r="AD19" i="61"/>
  <c r="AM21" i="61"/>
  <c r="AC27" i="61"/>
  <c r="AM16" i="61"/>
  <c r="AL20" i="61"/>
  <c r="AM22" i="61"/>
  <c r="S27" i="61"/>
  <c r="AR19" i="61"/>
  <c r="AR24" i="61"/>
  <c r="AE11" i="61"/>
  <c r="AJ27" i="61"/>
  <c r="AD18" i="61"/>
  <c r="AE24" i="61"/>
  <c r="AD24" i="61"/>
  <c r="AE26" i="61"/>
  <c r="K27" i="61"/>
  <c r="AL12" i="61"/>
  <c r="AR16" i="61"/>
  <c r="AL17" i="61"/>
  <c r="AL18" i="61"/>
  <c r="AE21" i="61"/>
  <c r="AE22" i="61"/>
  <c r="AO18" i="61"/>
  <c r="AH27" i="61"/>
  <c r="AL19" i="61"/>
  <c r="AN20" i="61"/>
  <c r="AN12" i="61"/>
  <c r="AE18" i="61"/>
  <c r="L27" i="61"/>
  <c r="Y27" i="61"/>
  <c r="AL13" i="61"/>
  <c r="AN16" i="61"/>
  <c r="AM17" i="61"/>
  <c r="AD11" i="61"/>
  <c r="Z27" i="61"/>
  <c r="AM14" i="61"/>
  <c r="AL16" i="61"/>
  <c r="AK18" i="61"/>
  <c r="AM19" i="61"/>
  <c r="AR21" i="61"/>
  <c r="AO23" i="61"/>
  <c r="P27" i="61"/>
  <c r="AL22" i="61"/>
  <c r="AL23" i="61"/>
  <c r="AA27" i="61"/>
  <c r="AB27" i="61"/>
  <c r="AE13" i="61"/>
  <c r="T27" i="61"/>
  <c r="W27" i="61"/>
  <c r="U27" i="61"/>
  <c r="AR26" i="61"/>
  <c r="V27" i="61"/>
  <c r="AD15" i="61"/>
  <c r="AR25" i="61"/>
  <c r="AW25" i="61" s="1"/>
  <c r="AX25" i="61" s="1"/>
  <c r="BN25" i="61" s="1"/>
  <c r="BQ25" i="61" s="1"/>
  <c r="BU25" i="61" s="1"/>
  <c r="M27" i="61"/>
  <c r="I27" i="61"/>
  <c r="AK12" i="61"/>
  <c r="AM12" i="61"/>
  <c r="AE15" i="61"/>
  <c r="AD16" i="61"/>
  <c r="AR20" i="61"/>
  <c r="X27" i="61"/>
  <c r="AF21" i="61"/>
  <c r="AF27" i="61" s="1"/>
  <c r="J27" i="61"/>
  <c r="AN13" i="61"/>
  <c r="AI11" i="61"/>
  <c r="AI27" i="61" s="1"/>
  <c r="AD26" i="61"/>
  <c r="BU11" i="62" l="1"/>
  <c r="BQ29" i="62"/>
  <c r="AW27" i="62"/>
  <c r="AW20" i="61"/>
  <c r="AX20" i="61" s="1"/>
  <c r="BN20" i="61" s="1"/>
  <c r="BQ20" i="61" s="1"/>
  <c r="BU20" i="61" s="1"/>
  <c r="AW17" i="61"/>
  <c r="AX17" i="61" s="1"/>
  <c r="BN17" i="61" s="1"/>
  <c r="BQ17" i="61" s="1"/>
  <c r="BU17" i="61" s="1"/>
  <c r="AW13" i="61"/>
  <c r="AX13" i="61" s="1"/>
  <c r="BN13" i="61" s="1"/>
  <c r="BQ13" i="61" s="1"/>
  <c r="BU13" i="61" s="1"/>
  <c r="AW23" i="61"/>
  <c r="AX23" i="61" s="1"/>
  <c r="BN23" i="61" s="1"/>
  <c r="BQ23" i="61" s="1"/>
  <c r="BU23" i="61" s="1"/>
  <c r="AK27" i="61"/>
  <c r="AL27" i="61"/>
  <c r="AO27" i="61"/>
  <c r="AW14" i="61"/>
  <c r="AX14" i="61" s="1"/>
  <c r="BN14" i="61" s="1"/>
  <c r="BQ14" i="61" s="1"/>
  <c r="BU14" i="61" s="1"/>
  <c r="AW19" i="61"/>
  <c r="AX19" i="61" s="1"/>
  <c r="BN19" i="61" s="1"/>
  <c r="BQ19" i="61" s="1"/>
  <c r="BU19" i="61" s="1"/>
  <c r="AW24" i="61"/>
  <c r="AX24" i="61" s="1"/>
  <c r="BN24" i="61" s="1"/>
  <c r="BQ24" i="61" s="1"/>
  <c r="BU24" i="61" s="1"/>
  <c r="AM27" i="61"/>
  <c r="AW18" i="61"/>
  <c r="AX18" i="61" s="1"/>
  <c r="BN18" i="61" s="1"/>
  <c r="BQ18" i="61" s="1"/>
  <c r="BU18" i="61" s="1"/>
  <c r="AW16" i="61"/>
  <c r="AX16" i="61" s="1"/>
  <c r="BN16" i="61" s="1"/>
  <c r="BQ16" i="61" s="1"/>
  <c r="BU16" i="61" s="1"/>
  <c r="AR27" i="61"/>
  <c r="AE27" i="61"/>
  <c r="AW11" i="61"/>
  <c r="AW22" i="61"/>
  <c r="AX22" i="61" s="1"/>
  <c r="BN22" i="61" s="1"/>
  <c r="BQ22" i="61" s="1"/>
  <c r="BU22" i="61" s="1"/>
  <c r="AW12" i="61"/>
  <c r="AX12" i="61" s="1"/>
  <c r="BN12" i="61" s="1"/>
  <c r="BQ12" i="61" s="1"/>
  <c r="BU12" i="61" s="1"/>
  <c r="AW26" i="61"/>
  <c r="AW21" i="61"/>
  <c r="AX21" i="61" s="1"/>
  <c r="BN21" i="61" s="1"/>
  <c r="BQ21" i="61" s="1"/>
  <c r="BU21" i="61" s="1"/>
  <c r="AN27" i="61"/>
  <c r="AW15" i="61"/>
  <c r="AX15" i="61" s="1"/>
  <c r="BN15" i="61" s="1"/>
  <c r="BQ15" i="61" s="1"/>
  <c r="BU15" i="61" s="1"/>
  <c r="AD27" i="61"/>
  <c r="BU29" i="62" l="1"/>
  <c r="AX26" i="61"/>
  <c r="BN26" i="61" s="1"/>
  <c r="BQ26" i="61" s="1"/>
  <c r="BU26" i="61" s="1"/>
  <c r="AX11" i="61"/>
  <c r="AX27" i="61" s="1"/>
  <c r="AW27" i="61"/>
  <c r="BN11" i="61" l="1"/>
  <c r="BN27" i="61" s="1"/>
  <c r="BN28" i="61" s="1"/>
  <c r="AY27" i="60"/>
  <c r="AZ27" i="60"/>
  <c r="BA27" i="60"/>
  <c r="BB27" i="60"/>
  <c r="BC27" i="60"/>
  <c r="BD27" i="60"/>
  <c r="BE27" i="60"/>
  <c r="BF27" i="60"/>
  <c r="BG27" i="60"/>
  <c r="BH27" i="60"/>
  <c r="BI27" i="60"/>
  <c r="BJ27" i="60"/>
  <c r="BK27" i="60"/>
  <c r="BL27" i="60"/>
  <c r="BM27" i="60"/>
  <c r="BO27" i="60"/>
  <c r="BP27" i="60"/>
  <c r="BR27" i="60"/>
  <c r="BS27" i="60"/>
  <c r="BT13" i="60"/>
  <c r="BT14" i="60"/>
  <c r="BT15" i="60"/>
  <c r="BT16" i="60"/>
  <c r="BT17" i="60"/>
  <c r="BT18" i="60"/>
  <c r="BT19" i="60"/>
  <c r="BT20" i="60"/>
  <c r="BT21" i="60"/>
  <c r="BT22" i="60"/>
  <c r="BT23" i="60"/>
  <c r="BT24" i="60"/>
  <c r="BT25" i="60"/>
  <c r="BT26" i="60"/>
  <c r="BT12" i="60"/>
  <c r="BT11" i="60"/>
  <c r="AV27" i="60"/>
  <c r="AU27" i="60"/>
  <c r="AT27" i="60"/>
  <c r="AS27" i="60"/>
  <c r="AQ27" i="60"/>
  <c r="AP27" i="60"/>
  <c r="AG27" i="60"/>
  <c r="R27" i="60"/>
  <c r="Q27" i="60"/>
  <c r="N27" i="60"/>
  <c r="H27" i="60"/>
  <c r="G27" i="60"/>
  <c r="F27" i="60"/>
  <c r="E27" i="60"/>
  <c r="D27" i="60"/>
  <c r="AO26" i="60"/>
  <c r="AN26" i="60"/>
  <c r="AM26" i="60"/>
  <c r="AL26" i="60"/>
  <c r="AJ26" i="60"/>
  <c r="AE26" i="60"/>
  <c r="AK26" i="60"/>
  <c r="AH26" i="60"/>
  <c r="AI26" i="60"/>
  <c r="AF26" i="60"/>
  <c r="AD26" i="60"/>
  <c r="AO25" i="60"/>
  <c r="AN25" i="60"/>
  <c r="AM25" i="60"/>
  <c r="AL25" i="60"/>
  <c r="AJ25" i="60"/>
  <c r="AE25" i="60"/>
  <c r="AK25" i="60"/>
  <c r="AH25" i="60"/>
  <c r="AI25" i="60"/>
  <c r="AF25" i="60"/>
  <c r="AD25" i="60"/>
  <c r="AO24" i="60"/>
  <c r="AN24" i="60"/>
  <c r="AM24" i="60"/>
  <c r="AL24" i="60"/>
  <c r="AJ24" i="60"/>
  <c r="AE24" i="60"/>
  <c r="AK24" i="60"/>
  <c r="AH24" i="60"/>
  <c r="AI24" i="60"/>
  <c r="AF24" i="60"/>
  <c r="AK23" i="60"/>
  <c r="AI23" i="60"/>
  <c r="AF23" i="60"/>
  <c r="AJ22" i="60"/>
  <c r="AE22" i="60"/>
  <c r="AK22" i="60"/>
  <c r="AH22" i="60"/>
  <c r="AI22" i="60"/>
  <c r="AF22" i="60"/>
  <c r="AJ21" i="60"/>
  <c r="AK21" i="60"/>
  <c r="AH21" i="60"/>
  <c r="AI21" i="60"/>
  <c r="AF21" i="60"/>
  <c r="AD21" i="60"/>
  <c r="AJ20" i="60"/>
  <c r="AK20" i="60"/>
  <c r="AH20" i="60"/>
  <c r="AI20" i="60"/>
  <c r="AD20" i="60"/>
  <c r="AJ19" i="60"/>
  <c r="AK19" i="60"/>
  <c r="AH19" i="60"/>
  <c r="AI19" i="60"/>
  <c r="AF19" i="60"/>
  <c r="AD19" i="60"/>
  <c r="AJ18" i="60"/>
  <c r="AE18" i="60"/>
  <c r="AH18" i="60"/>
  <c r="AI18" i="60"/>
  <c r="AJ17" i="60"/>
  <c r="AO17" i="60"/>
  <c r="AK17" i="60"/>
  <c r="AH17" i="60"/>
  <c r="AI17" i="60"/>
  <c r="AF17" i="60"/>
  <c r="AD17" i="60"/>
  <c r="AJ16" i="60"/>
  <c r="AE16" i="60"/>
  <c r="AO16" i="60"/>
  <c r="AK16" i="60"/>
  <c r="AH16" i="60"/>
  <c r="AI16" i="60"/>
  <c r="AF16" i="60"/>
  <c r="AD16" i="60"/>
  <c r="AO15" i="60"/>
  <c r="AN15" i="60"/>
  <c r="AM15" i="60"/>
  <c r="AL15" i="60"/>
  <c r="AK15" i="60"/>
  <c r="AJ15" i="60"/>
  <c r="AI15" i="60"/>
  <c r="AH15" i="60"/>
  <c r="AE15" i="60"/>
  <c r="AF15" i="60"/>
  <c r="AD15" i="60"/>
  <c r="AJ14" i="60"/>
  <c r="AE14" i="60"/>
  <c r="AK14" i="60"/>
  <c r="AH14" i="60"/>
  <c r="AI14" i="60"/>
  <c r="AF14" i="60"/>
  <c r="AJ13" i="60"/>
  <c r="AE13" i="60"/>
  <c r="AO13" i="60"/>
  <c r="AK13" i="60"/>
  <c r="AH13" i="60"/>
  <c r="AI13" i="60"/>
  <c r="AF13" i="60"/>
  <c r="AJ12" i="60"/>
  <c r="AE12" i="60"/>
  <c r="AK12" i="60"/>
  <c r="AH12" i="60"/>
  <c r="AI12" i="60"/>
  <c r="AF12" i="60"/>
  <c r="AO11" i="60"/>
  <c r="AN11" i="60"/>
  <c r="AM11" i="60"/>
  <c r="AL11" i="60"/>
  <c r="AJ11" i="60"/>
  <c r="AK11" i="60"/>
  <c r="AI11" i="60"/>
  <c r="BQ11" i="61" l="1"/>
  <c r="BQ27" i="61" s="1"/>
  <c r="BT27" i="60"/>
  <c r="AN21" i="60"/>
  <c r="AN22" i="60"/>
  <c r="AL22" i="60"/>
  <c r="I27" i="60"/>
  <c r="AO14" i="60"/>
  <c r="AN16" i="60"/>
  <c r="AM16" i="60"/>
  <c r="S27" i="60"/>
  <c r="AL21" i="60"/>
  <c r="AN23" i="60"/>
  <c r="J27" i="60"/>
  <c r="AJ27" i="60"/>
  <c r="AM18" i="60"/>
  <c r="AN20" i="60"/>
  <c r="AL23" i="60"/>
  <c r="AR16" i="60"/>
  <c r="AR20" i="60"/>
  <c r="AE20" i="60"/>
  <c r="AL16" i="60"/>
  <c r="AR18" i="60"/>
  <c r="AN18" i="60"/>
  <c r="AD18" i="60"/>
  <c r="AO20" i="60"/>
  <c r="AA27" i="60"/>
  <c r="O27" i="60"/>
  <c r="AL14" i="60"/>
  <c r="AE17" i="60"/>
  <c r="AN17" i="60"/>
  <c r="AO19" i="60"/>
  <c r="AM19" i="60"/>
  <c r="AK18" i="60"/>
  <c r="AK27" i="60" s="1"/>
  <c r="AR26" i="60"/>
  <c r="AW26" i="60" s="1"/>
  <c r="AX26" i="60" s="1"/>
  <c r="X27" i="60"/>
  <c r="AF20" i="60"/>
  <c r="L27" i="60"/>
  <c r="Y27" i="60"/>
  <c r="AL13" i="60"/>
  <c r="W27" i="60"/>
  <c r="AL20" i="60"/>
  <c r="AO22" i="60"/>
  <c r="AM22" i="60"/>
  <c r="AD24" i="60"/>
  <c r="K27" i="60"/>
  <c r="M27" i="60"/>
  <c r="Z27" i="60"/>
  <c r="AN13" i="60"/>
  <c r="AM13" i="60"/>
  <c r="AM17" i="60"/>
  <c r="AR19" i="60"/>
  <c r="P27" i="60"/>
  <c r="AB27" i="60"/>
  <c r="AO18" i="60"/>
  <c r="AL19" i="60"/>
  <c r="T27" i="60"/>
  <c r="AC27" i="60"/>
  <c r="V27" i="60"/>
  <c r="AL18" i="60"/>
  <c r="AI27" i="60"/>
  <c r="U27" i="60"/>
  <c r="AD12" i="60"/>
  <c r="AN14" i="60"/>
  <c r="AW15" i="60"/>
  <c r="AX15" i="60" s="1"/>
  <c r="AL17" i="60"/>
  <c r="AE19" i="60"/>
  <c r="AN19" i="60"/>
  <c r="AM20" i="60"/>
  <c r="AO21" i="60"/>
  <c r="AM21" i="60"/>
  <c r="AO23" i="60"/>
  <c r="AM23" i="60"/>
  <c r="AM14" i="60"/>
  <c r="AH27" i="60"/>
  <c r="AD23" i="60"/>
  <c r="AR24" i="60"/>
  <c r="AE23" i="60"/>
  <c r="AM12" i="60"/>
  <c r="AD13" i="60"/>
  <c r="AR21" i="60"/>
  <c r="AE11" i="60"/>
  <c r="AL12" i="60"/>
  <c r="AF18" i="60"/>
  <c r="AD22" i="60"/>
  <c r="AR25" i="60"/>
  <c r="AN12" i="60"/>
  <c r="AD11" i="60"/>
  <c r="AE21" i="60"/>
  <c r="AD14" i="60"/>
  <c r="AO12" i="60"/>
  <c r="BQ29" i="61" l="1"/>
  <c r="BU11" i="61"/>
  <c r="BU27" i="61" s="1"/>
  <c r="BN15" i="60"/>
  <c r="BN26" i="60"/>
  <c r="BQ26" i="60" s="1"/>
  <c r="BU26" i="60" s="1"/>
  <c r="AW16" i="60"/>
  <c r="AX16" i="60" s="1"/>
  <c r="AW22" i="60"/>
  <c r="AX22" i="60" s="1"/>
  <c r="AM27" i="60"/>
  <c r="AF27" i="60"/>
  <c r="AW24" i="60"/>
  <c r="AX24" i="60" s="1"/>
  <c r="AW17" i="60"/>
  <c r="AX17" i="60" s="1"/>
  <c r="AO27" i="60"/>
  <c r="AW20" i="60"/>
  <c r="AX20" i="60" s="1"/>
  <c r="AW14" i="60"/>
  <c r="AX14" i="60" s="1"/>
  <c r="AW12" i="60"/>
  <c r="AN27" i="60"/>
  <c r="AW19" i="60"/>
  <c r="AX19" i="60" s="1"/>
  <c r="AR27" i="60"/>
  <c r="AW13" i="60"/>
  <c r="AX13" i="60" s="1"/>
  <c r="AL27" i="60"/>
  <c r="AW18" i="60"/>
  <c r="AX18" i="60" s="1"/>
  <c r="AW21" i="60"/>
  <c r="AX21" i="60" s="1"/>
  <c r="AW23" i="60"/>
  <c r="AX23" i="60" s="1"/>
  <c r="AW25" i="60"/>
  <c r="AX25" i="60" s="1"/>
  <c r="AW11" i="60"/>
  <c r="AD27" i="60"/>
  <c r="AE27" i="60"/>
  <c r="BU29" i="61" l="1"/>
  <c r="BN18" i="60"/>
  <c r="BN24" i="60"/>
  <c r="BN22" i="60"/>
  <c r="BN23" i="60"/>
  <c r="BQ23" i="60" s="1"/>
  <c r="BN16" i="60"/>
  <c r="BQ16" i="60" s="1"/>
  <c r="BN17" i="60"/>
  <c r="BN25" i="60"/>
  <c r="BN19" i="60"/>
  <c r="BQ19" i="60" s="1"/>
  <c r="BU19" i="60" s="1"/>
  <c r="AX12" i="60"/>
  <c r="BN12" i="60" s="1"/>
  <c r="BQ12" i="60" s="1"/>
  <c r="BU12" i="60" s="1"/>
  <c r="BN21" i="60"/>
  <c r="BN14" i="60"/>
  <c r="BN13" i="60"/>
  <c r="AX11" i="60"/>
  <c r="BN20" i="60"/>
  <c r="BQ20" i="60" s="1"/>
  <c r="BQ15" i="60"/>
  <c r="BU15" i="60" s="1"/>
  <c r="AW27" i="60"/>
  <c r="AX27" i="60" l="1"/>
  <c r="BQ14" i="60"/>
  <c r="BU14" i="60" s="1"/>
  <c r="BQ21" i="60"/>
  <c r="BU21" i="60" s="1"/>
  <c r="BQ22" i="60"/>
  <c r="BU22" i="60" s="1"/>
  <c r="BU23" i="60"/>
  <c r="BU16" i="60"/>
  <c r="BQ24" i="60"/>
  <c r="BN11" i="60"/>
  <c r="BN27" i="60" s="1"/>
  <c r="BQ13" i="60"/>
  <c r="BU13" i="60" s="1"/>
  <c r="BQ17" i="60"/>
  <c r="BU17" i="60" s="1"/>
  <c r="BU20" i="60"/>
  <c r="BQ25" i="60"/>
  <c r="BU25" i="60" s="1"/>
  <c r="BQ18" i="60"/>
  <c r="BU18" i="60" s="1"/>
  <c r="BU24" i="60" l="1"/>
  <c r="BQ11" i="60"/>
  <c r="BQ27" i="60" s="1"/>
  <c r="BW12" i="59"/>
  <c r="BW13" i="59"/>
  <c r="BW14" i="59"/>
  <c r="BW15" i="59"/>
  <c r="BW16" i="59"/>
  <c r="BW17" i="59"/>
  <c r="BW18" i="59"/>
  <c r="BW19" i="59"/>
  <c r="BW20" i="59"/>
  <c r="BW21" i="59"/>
  <c r="BW22" i="59"/>
  <c r="BW23" i="59"/>
  <c r="BW24" i="59"/>
  <c r="BW25" i="59"/>
  <c r="BW26" i="59"/>
  <c r="BW27" i="59"/>
  <c r="BW11" i="59"/>
  <c r="BV28" i="59"/>
  <c r="BU28" i="59"/>
  <c r="BS28" i="59"/>
  <c r="BR28" i="59"/>
  <c r="BP28" i="59"/>
  <c r="BO28" i="59"/>
  <c r="BN28" i="59"/>
  <c r="BM28" i="59"/>
  <c r="BL28" i="59"/>
  <c r="BK28" i="59"/>
  <c r="BJ28" i="59"/>
  <c r="BI28" i="59"/>
  <c r="BH28" i="59"/>
  <c r="BG28" i="59"/>
  <c r="BF28" i="59"/>
  <c r="BE28" i="59"/>
  <c r="BD28" i="59"/>
  <c r="BC28" i="59"/>
  <c r="BB28" i="59"/>
  <c r="AV28" i="59"/>
  <c r="AU28" i="59"/>
  <c r="AT28" i="59"/>
  <c r="AS28" i="59"/>
  <c r="AQ28" i="59"/>
  <c r="AG28" i="59"/>
  <c r="R28" i="59"/>
  <c r="Q28" i="59"/>
  <c r="N28" i="59"/>
  <c r="H28" i="59"/>
  <c r="G28" i="59"/>
  <c r="F28" i="59"/>
  <c r="E28" i="59"/>
  <c r="D28" i="59"/>
  <c r="AO27" i="59"/>
  <c r="AM27" i="59"/>
  <c r="AB27" i="59"/>
  <c r="Z27" i="59"/>
  <c r="V27" i="59"/>
  <c r="T27" i="59"/>
  <c r="S27" i="59"/>
  <c r="P27" i="59"/>
  <c r="AK27" i="59" s="1"/>
  <c r="O27" i="59"/>
  <c r="M27" i="59"/>
  <c r="L27" i="59"/>
  <c r="AI27" i="59" s="1"/>
  <c r="K27" i="59"/>
  <c r="AF27" i="59" s="1"/>
  <c r="J27" i="59"/>
  <c r="AX27" i="59" s="1"/>
  <c r="I27" i="59"/>
  <c r="AO26" i="59"/>
  <c r="AN26" i="59"/>
  <c r="AM26" i="59"/>
  <c r="AL26" i="59"/>
  <c r="AJ26" i="59"/>
  <c r="S26" i="59"/>
  <c r="P26" i="59"/>
  <c r="AK26" i="59" s="1"/>
  <c r="O26" i="59"/>
  <c r="M26" i="59"/>
  <c r="AH26" i="59" s="1"/>
  <c r="L26" i="59"/>
  <c r="AI26" i="59" s="1"/>
  <c r="K26" i="59"/>
  <c r="AF26" i="59" s="1"/>
  <c r="J26" i="59"/>
  <c r="I26" i="59"/>
  <c r="AO25" i="59"/>
  <c r="AN25" i="59"/>
  <c r="AM25" i="59"/>
  <c r="AL25" i="59"/>
  <c r="AJ25" i="59"/>
  <c r="S25" i="59"/>
  <c r="P25" i="59"/>
  <c r="AK25" i="59" s="1"/>
  <c r="M25" i="59"/>
  <c r="AH25" i="59" s="1"/>
  <c r="L25" i="59"/>
  <c r="AI25" i="59" s="1"/>
  <c r="K25" i="59"/>
  <c r="AF25" i="59" s="1"/>
  <c r="J25" i="59"/>
  <c r="AX25" i="59" s="1"/>
  <c r="I25" i="59"/>
  <c r="AO24" i="59"/>
  <c r="AN24" i="59"/>
  <c r="AM24" i="59"/>
  <c r="AL24" i="59"/>
  <c r="AJ24" i="59"/>
  <c r="S24" i="59"/>
  <c r="P24" i="59"/>
  <c r="AK24" i="59" s="1"/>
  <c r="O24" i="59"/>
  <c r="M24" i="59"/>
  <c r="AH24" i="59" s="1"/>
  <c r="L24" i="59"/>
  <c r="AI24" i="59" s="1"/>
  <c r="K24" i="59"/>
  <c r="AF24" i="59" s="1"/>
  <c r="J24" i="59"/>
  <c r="I24" i="59"/>
  <c r="AX23" i="59"/>
  <c r="AO23" i="59"/>
  <c r="AN23" i="59"/>
  <c r="AM23" i="59"/>
  <c r="AL23" i="59"/>
  <c r="AJ23" i="59"/>
  <c r="AD23" i="59"/>
  <c r="P23" i="59"/>
  <c r="AK23" i="59" s="1"/>
  <c r="M23" i="59"/>
  <c r="AH23" i="59" s="1"/>
  <c r="L23" i="59"/>
  <c r="AI23" i="59" s="1"/>
  <c r="K23" i="59"/>
  <c r="AF23" i="59" s="1"/>
  <c r="I23" i="59"/>
  <c r="AP23" i="59" s="1"/>
  <c r="AJ22" i="59"/>
  <c r="AC22" i="59"/>
  <c r="AB22" i="59"/>
  <c r="AA22" i="59"/>
  <c r="Z22" i="59"/>
  <c r="Y22" i="59"/>
  <c r="X22" i="59"/>
  <c r="W22" i="59"/>
  <c r="V22" i="59"/>
  <c r="U22" i="59"/>
  <c r="T22" i="59"/>
  <c r="S22" i="59"/>
  <c r="P22" i="59"/>
  <c r="AK22" i="59" s="1"/>
  <c r="O22" i="59"/>
  <c r="M22" i="59"/>
  <c r="AH22" i="59" s="1"/>
  <c r="L22" i="59"/>
  <c r="AI22" i="59" s="1"/>
  <c r="K22" i="59"/>
  <c r="J22" i="59"/>
  <c r="AE22" i="59" s="1"/>
  <c r="AY22" i="59" s="1"/>
  <c r="AJ21" i="59"/>
  <c r="AC21" i="59"/>
  <c r="AB21" i="59"/>
  <c r="AA21" i="59"/>
  <c r="Z21" i="59"/>
  <c r="Y21" i="59"/>
  <c r="X21" i="59"/>
  <c r="W21" i="59"/>
  <c r="V21" i="59"/>
  <c r="U21" i="59"/>
  <c r="T21" i="59"/>
  <c r="S21" i="59"/>
  <c r="P21" i="59"/>
  <c r="AK21" i="59" s="1"/>
  <c r="O21" i="59"/>
  <c r="M21" i="59"/>
  <c r="AH21" i="59" s="1"/>
  <c r="L21" i="59"/>
  <c r="AI21" i="59" s="1"/>
  <c r="K21" i="59"/>
  <c r="AF21" i="59" s="1"/>
  <c r="J21" i="59"/>
  <c r="AX21" i="59" s="1"/>
  <c r="AJ20" i="59"/>
  <c r="AC20" i="59"/>
  <c r="AB20" i="59"/>
  <c r="AA20" i="59"/>
  <c r="Z20" i="59"/>
  <c r="Y20" i="59"/>
  <c r="X20" i="59"/>
  <c r="W20" i="59"/>
  <c r="V20" i="59"/>
  <c r="U20" i="59"/>
  <c r="T20" i="59"/>
  <c r="S20" i="59"/>
  <c r="P20" i="59"/>
  <c r="AK20" i="59" s="1"/>
  <c r="O20" i="59"/>
  <c r="M20" i="59"/>
  <c r="AH20" i="59" s="1"/>
  <c r="L20" i="59"/>
  <c r="AI20" i="59" s="1"/>
  <c r="K20" i="59"/>
  <c r="AF20" i="59" s="1"/>
  <c r="J20" i="59"/>
  <c r="I20" i="59"/>
  <c r="AJ19" i="59"/>
  <c r="AC19" i="59"/>
  <c r="AB19" i="59"/>
  <c r="AA19" i="59"/>
  <c r="Z19" i="59"/>
  <c r="Y19" i="59"/>
  <c r="X19" i="59"/>
  <c r="W19" i="59"/>
  <c r="V19" i="59"/>
  <c r="U19" i="59"/>
  <c r="T19" i="59"/>
  <c r="S19" i="59"/>
  <c r="P19" i="59"/>
  <c r="AK19" i="59" s="1"/>
  <c r="O19" i="59"/>
  <c r="M19" i="59"/>
  <c r="AH19" i="59" s="1"/>
  <c r="L19" i="59"/>
  <c r="AI19" i="59" s="1"/>
  <c r="K19" i="59"/>
  <c r="J19" i="59"/>
  <c r="AX19" i="59" s="1"/>
  <c r="I19" i="59"/>
  <c r="AJ18" i="59"/>
  <c r="AC18" i="59"/>
  <c r="AB18" i="59"/>
  <c r="AA18" i="59"/>
  <c r="Z18" i="59"/>
  <c r="Y18" i="59"/>
  <c r="X18" i="59"/>
  <c r="W18" i="59"/>
  <c r="V18" i="59"/>
  <c r="U18" i="59"/>
  <c r="T18" i="59"/>
  <c r="S18" i="59"/>
  <c r="P18" i="59"/>
  <c r="O18" i="59"/>
  <c r="M18" i="59"/>
  <c r="AH18" i="59" s="1"/>
  <c r="L18" i="59"/>
  <c r="AI18" i="59" s="1"/>
  <c r="K18" i="59"/>
  <c r="AF18" i="59" s="1"/>
  <c r="J18" i="59"/>
  <c r="AX18" i="59" s="1"/>
  <c r="I18" i="59"/>
  <c r="AJ17" i="59"/>
  <c r="AC17" i="59"/>
  <c r="AB17" i="59"/>
  <c r="AA17" i="59"/>
  <c r="Z17" i="59"/>
  <c r="Y17" i="59"/>
  <c r="X17" i="59"/>
  <c r="V17" i="59"/>
  <c r="U17" i="59"/>
  <c r="AO17" i="59" s="1"/>
  <c r="T17" i="59"/>
  <c r="S17" i="59"/>
  <c r="P17" i="59"/>
  <c r="AK17" i="59" s="1"/>
  <c r="O17" i="59"/>
  <c r="M17" i="59"/>
  <c r="AH17" i="59" s="1"/>
  <c r="L17" i="59"/>
  <c r="AI17" i="59" s="1"/>
  <c r="K17" i="59"/>
  <c r="AF17" i="59" s="1"/>
  <c r="J17" i="59"/>
  <c r="AD17" i="59" s="1"/>
  <c r="I17" i="59"/>
  <c r="AJ16" i="59"/>
  <c r="AC16" i="59"/>
  <c r="AB16" i="59"/>
  <c r="AA16" i="59"/>
  <c r="Z16" i="59"/>
  <c r="Y16" i="59"/>
  <c r="X16" i="59"/>
  <c r="V16" i="59"/>
  <c r="U16" i="59"/>
  <c r="T16" i="59"/>
  <c r="S16" i="59"/>
  <c r="P16" i="59"/>
  <c r="AK16" i="59" s="1"/>
  <c r="O16" i="59"/>
  <c r="M16" i="59"/>
  <c r="AH16" i="59" s="1"/>
  <c r="L16" i="59"/>
  <c r="AI16" i="59" s="1"/>
  <c r="K16" i="59"/>
  <c r="AF16" i="59" s="1"/>
  <c r="J16" i="59"/>
  <c r="AX16" i="59" s="1"/>
  <c r="I16" i="59"/>
  <c r="AO15" i="59"/>
  <c r="AN15" i="59"/>
  <c r="AM15" i="59"/>
  <c r="AL15" i="59"/>
  <c r="AK15" i="59"/>
  <c r="AJ15" i="59"/>
  <c r="AI15" i="59"/>
  <c r="AH15" i="59"/>
  <c r="AE15" i="59"/>
  <c r="AY15" i="59" s="1"/>
  <c r="K15" i="59"/>
  <c r="AF15" i="59" s="1"/>
  <c r="J15" i="59"/>
  <c r="AX15" i="59" s="1"/>
  <c r="AJ14" i="59"/>
  <c r="AC14" i="59"/>
  <c r="AB14" i="59"/>
  <c r="AA14" i="59"/>
  <c r="Z14" i="59"/>
  <c r="Y14" i="59"/>
  <c r="X14" i="59"/>
  <c r="W14" i="59"/>
  <c r="V14" i="59"/>
  <c r="U14" i="59"/>
  <c r="T14" i="59"/>
  <c r="S14" i="59"/>
  <c r="P14" i="59"/>
  <c r="AK14" i="59" s="1"/>
  <c r="O14" i="59"/>
  <c r="M14" i="59"/>
  <c r="AH14" i="59" s="1"/>
  <c r="L14" i="59"/>
  <c r="AI14" i="59" s="1"/>
  <c r="K14" i="59"/>
  <c r="AF14" i="59" s="1"/>
  <c r="J14" i="59"/>
  <c r="AX14" i="59" s="1"/>
  <c r="I14" i="59"/>
  <c r="AJ13" i="59"/>
  <c r="AC13" i="59"/>
  <c r="AB13" i="59"/>
  <c r="AA13" i="59"/>
  <c r="Z13" i="59"/>
  <c r="Y13" i="59"/>
  <c r="X13" i="59"/>
  <c r="V13" i="59"/>
  <c r="U13" i="59"/>
  <c r="AO13" i="59" s="1"/>
  <c r="T13" i="59"/>
  <c r="S13" i="59"/>
  <c r="P13" i="59"/>
  <c r="AK13" i="59" s="1"/>
  <c r="O13" i="59"/>
  <c r="M13" i="59"/>
  <c r="L13" i="59"/>
  <c r="AI13" i="59" s="1"/>
  <c r="K13" i="59"/>
  <c r="AF13" i="59" s="1"/>
  <c r="J13" i="59"/>
  <c r="AD13" i="59" s="1"/>
  <c r="I13" i="59"/>
  <c r="AJ12" i="59"/>
  <c r="AC12" i="59"/>
  <c r="AB12" i="59"/>
  <c r="AA12" i="59"/>
  <c r="Z12" i="59"/>
  <c r="Y12" i="59"/>
  <c r="X12" i="59"/>
  <c r="V12" i="59"/>
  <c r="U12" i="59"/>
  <c r="AO12" i="59" s="1"/>
  <c r="T12" i="59"/>
  <c r="S12" i="59"/>
  <c r="P12" i="59"/>
  <c r="AK12" i="59" s="1"/>
  <c r="O12" i="59"/>
  <c r="M12" i="59"/>
  <c r="AH12" i="59" s="1"/>
  <c r="L12" i="59"/>
  <c r="AI12" i="59" s="1"/>
  <c r="K12" i="59"/>
  <c r="AF12" i="59" s="1"/>
  <c r="J12" i="59"/>
  <c r="AD12" i="59" s="1"/>
  <c r="I12" i="59"/>
  <c r="AO11" i="59"/>
  <c r="AN11" i="59"/>
  <c r="AM11" i="59"/>
  <c r="AL11" i="59"/>
  <c r="AJ11" i="59"/>
  <c r="S11" i="59"/>
  <c r="P11" i="59"/>
  <c r="O11" i="59"/>
  <c r="M11" i="59"/>
  <c r="L11" i="59"/>
  <c r="AI11" i="59" s="1"/>
  <c r="K11" i="59"/>
  <c r="J11" i="59"/>
  <c r="I11" i="59"/>
  <c r="BQ29" i="60" l="1"/>
  <c r="BU11" i="60"/>
  <c r="BU27" i="60" s="1"/>
  <c r="AE14" i="59"/>
  <c r="AY14" i="59" s="1"/>
  <c r="AZ14" i="59" s="1"/>
  <c r="AP25" i="59"/>
  <c r="AL27" i="59"/>
  <c r="AN27" i="59"/>
  <c r="AP19" i="59"/>
  <c r="AR26" i="59"/>
  <c r="BW28" i="59"/>
  <c r="AN14" i="59"/>
  <c r="AR20" i="59"/>
  <c r="AO14" i="59"/>
  <c r="AO21" i="59"/>
  <c r="AM14" i="59"/>
  <c r="AR24" i="59"/>
  <c r="AN19" i="59"/>
  <c r="AR22" i="59"/>
  <c r="AE13" i="59"/>
  <c r="AY13" i="59" s="1"/>
  <c r="AD15" i="59"/>
  <c r="AW15" i="59" s="1"/>
  <c r="AN21" i="59"/>
  <c r="AL13" i="59"/>
  <c r="AR19" i="59"/>
  <c r="AD19" i="59"/>
  <c r="AN22" i="59"/>
  <c r="AP12" i="59"/>
  <c r="AC28" i="59"/>
  <c r="AD14" i="59"/>
  <c r="AP18" i="59"/>
  <c r="AN18" i="59"/>
  <c r="AO22" i="59"/>
  <c r="AA28" i="59"/>
  <c r="AK18" i="59"/>
  <c r="AM16" i="59"/>
  <c r="AL14" i="59"/>
  <c r="AD18" i="59"/>
  <c r="AL20" i="59"/>
  <c r="AP26" i="59"/>
  <c r="AN13" i="59"/>
  <c r="AE18" i="59"/>
  <c r="AY18" i="59" s="1"/>
  <c r="AZ18" i="59" s="1"/>
  <c r="AO20" i="59"/>
  <c r="AL16" i="59"/>
  <c r="AP17" i="59"/>
  <c r="AN17" i="59"/>
  <c r="AM17" i="59"/>
  <c r="AE21" i="59"/>
  <c r="AY21" i="59" s="1"/>
  <c r="AZ21" i="59" s="1"/>
  <c r="AF22" i="59"/>
  <c r="S28" i="59"/>
  <c r="AE12" i="59"/>
  <c r="AY12" i="59" s="1"/>
  <c r="AP16" i="59"/>
  <c r="AO19" i="59"/>
  <c r="AE19" i="59"/>
  <c r="AY19" i="59" s="1"/>
  <c r="AZ19" i="59" s="1"/>
  <c r="AP27" i="59"/>
  <c r="P28" i="59"/>
  <c r="AI28" i="59"/>
  <c r="AP13" i="59"/>
  <c r="U28" i="59"/>
  <c r="AL19" i="59"/>
  <c r="AE11" i="59"/>
  <c r="AY11" i="59" s="1"/>
  <c r="AJ28" i="59"/>
  <c r="X28" i="59"/>
  <c r="AN16" i="59"/>
  <c r="AX17" i="59"/>
  <c r="AM18" i="59"/>
  <c r="AL21" i="59"/>
  <c r="AE23" i="59"/>
  <c r="AY23" i="59" s="1"/>
  <c r="AZ23" i="59" s="1"/>
  <c r="AX24" i="59"/>
  <c r="AE26" i="59"/>
  <c r="AY26" i="59" s="1"/>
  <c r="T28" i="59"/>
  <c r="AM20" i="59"/>
  <c r="I28" i="59"/>
  <c r="AN12" i="59"/>
  <c r="M28" i="59"/>
  <c r="AF19" i="59"/>
  <c r="AL22" i="59"/>
  <c r="K28" i="59"/>
  <c r="Y28" i="59"/>
  <c r="AM21" i="59"/>
  <c r="AM13" i="59"/>
  <c r="AL18" i="59"/>
  <c r="L28" i="59"/>
  <c r="Z28" i="59"/>
  <c r="AX12" i="59"/>
  <c r="AL17" i="59"/>
  <c r="AO18" i="59"/>
  <c r="AR18" i="59"/>
  <c r="AM19" i="59"/>
  <c r="AX20" i="59"/>
  <c r="AP21" i="59"/>
  <c r="AP24" i="59"/>
  <c r="AD24" i="59"/>
  <c r="AR25" i="59"/>
  <c r="AD27" i="59"/>
  <c r="AR21" i="59"/>
  <c r="O28" i="59"/>
  <c r="AB28" i="59"/>
  <c r="AP20" i="59"/>
  <c r="AN20" i="59"/>
  <c r="AD21" i="59"/>
  <c r="AM22" i="59"/>
  <c r="AZ15" i="59"/>
  <c r="AX11" i="59"/>
  <c r="AH13" i="59"/>
  <c r="AD16" i="59"/>
  <c r="V28" i="59"/>
  <c r="AK11" i="59"/>
  <c r="AX13" i="59"/>
  <c r="AO16" i="59"/>
  <c r="AD20" i="59"/>
  <c r="AX26" i="59"/>
  <c r="AE27" i="59"/>
  <c r="AY27" i="59" s="1"/>
  <c r="AZ27" i="59" s="1"/>
  <c r="W28" i="59"/>
  <c r="AE16" i="59"/>
  <c r="AY16" i="59" s="1"/>
  <c r="AZ16" i="59" s="1"/>
  <c r="AL12" i="59"/>
  <c r="AE17" i="59"/>
  <c r="AY17" i="59" s="1"/>
  <c r="AE20" i="59"/>
  <c r="AY20" i="59" s="1"/>
  <c r="AX22" i="59"/>
  <c r="AZ22" i="59" s="1"/>
  <c r="AD25" i="59"/>
  <c r="AM12" i="59"/>
  <c r="AR16" i="59"/>
  <c r="AE24" i="59"/>
  <c r="AE25" i="59"/>
  <c r="AY25" i="59" s="1"/>
  <c r="AZ25" i="59" s="1"/>
  <c r="AD26" i="59"/>
  <c r="J28" i="59"/>
  <c r="AD11" i="59"/>
  <c r="AD22" i="59"/>
  <c r="BU29" i="60" l="1"/>
  <c r="BA15" i="59"/>
  <c r="BQ15" i="59" s="1"/>
  <c r="BT15" i="59" s="1"/>
  <c r="BX15" i="59" s="1"/>
  <c r="AH28" i="59"/>
  <c r="AW14" i="59"/>
  <c r="AZ26" i="59"/>
  <c r="AZ20" i="59"/>
  <c r="AZ13" i="59"/>
  <c r="AM28" i="59"/>
  <c r="AW23" i="59"/>
  <c r="AW18" i="59"/>
  <c r="AN28" i="59"/>
  <c r="AW21" i="59"/>
  <c r="AZ12" i="59"/>
  <c r="AW26" i="59"/>
  <c r="AZ17" i="59"/>
  <c r="AW13" i="59"/>
  <c r="AL28" i="59"/>
  <c r="AK28" i="59"/>
  <c r="AF28" i="59"/>
  <c r="AE28" i="59"/>
  <c r="AP28" i="59"/>
  <c r="AW22" i="59"/>
  <c r="AW20" i="59"/>
  <c r="AW17" i="59"/>
  <c r="AW19" i="59"/>
  <c r="AR28" i="59"/>
  <c r="AW25" i="59"/>
  <c r="BA25" i="59" s="1"/>
  <c r="BQ25" i="59" s="1"/>
  <c r="BT25" i="59" s="1"/>
  <c r="BX25" i="59" s="1"/>
  <c r="AO28" i="59"/>
  <c r="AW11" i="59"/>
  <c r="BA11" i="59" s="1"/>
  <c r="BQ11" i="59" s="1"/>
  <c r="BT11" i="59" s="1"/>
  <c r="AD28" i="59"/>
  <c r="AW24" i="59"/>
  <c r="BA24" i="59" s="1"/>
  <c r="BQ24" i="59" s="1"/>
  <c r="BT24" i="59" s="1"/>
  <c r="BX24" i="59" s="1"/>
  <c r="AY24" i="59"/>
  <c r="AZ24" i="59" s="1"/>
  <c r="AW16" i="59"/>
  <c r="AW12" i="59"/>
  <c r="AX28" i="59"/>
  <c r="AZ11" i="59"/>
  <c r="AW27" i="59"/>
  <c r="BA27" i="59" s="1"/>
  <c r="BQ27" i="59" s="1"/>
  <c r="BT27" i="59" s="1"/>
  <c r="BX27" i="59" s="1"/>
  <c r="BA20" i="59" l="1"/>
  <c r="BQ20" i="59" s="1"/>
  <c r="BT20" i="59" s="1"/>
  <c r="BX20" i="59" s="1"/>
  <c r="BA12" i="59"/>
  <c r="BQ12" i="59" s="1"/>
  <c r="BT12" i="59" s="1"/>
  <c r="BX12" i="59" s="1"/>
  <c r="BA22" i="59"/>
  <c r="BQ22" i="59" s="1"/>
  <c r="BT22" i="59" s="1"/>
  <c r="BX22" i="59" s="1"/>
  <c r="BA18" i="59"/>
  <c r="BQ18" i="59" s="1"/>
  <c r="BT18" i="59" s="1"/>
  <c r="BX18" i="59" s="1"/>
  <c r="BA23" i="59"/>
  <c r="BQ23" i="59" s="1"/>
  <c r="BT23" i="59" s="1"/>
  <c r="BX23" i="59" s="1"/>
  <c r="BA21" i="59"/>
  <c r="BQ21" i="59" s="1"/>
  <c r="BT21" i="59" s="1"/>
  <c r="BX21" i="59" s="1"/>
  <c r="BA13" i="59"/>
  <c r="BQ13" i="59" s="1"/>
  <c r="BT13" i="59" s="1"/>
  <c r="BX13" i="59" s="1"/>
  <c r="BA14" i="59"/>
  <c r="BQ14" i="59" s="1"/>
  <c r="BT14" i="59" s="1"/>
  <c r="BX14" i="59" s="1"/>
  <c r="BA26" i="59"/>
  <c r="BQ26" i="59" s="1"/>
  <c r="BT26" i="59" s="1"/>
  <c r="BX26" i="59" s="1"/>
  <c r="BA17" i="59"/>
  <c r="BQ17" i="59" s="1"/>
  <c r="BT17" i="59" s="1"/>
  <c r="BX17" i="59" s="1"/>
  <c r="BA16" i="59"/>
  <c r="BQ16" i="59" s="1"/>
  <c r="BT16" i="59" s="1"/>
  <c r="BX16" i="59" s="1"/>
  <c r="BA19" i="59"/>
  <c r="BQ19" i="59" s="1"/>
  <c r="BT19" i="59" s="1"/>
  <c r="BX19" i="59" s="1"/>
  <c r="AZ28" i="59"/>
  <c r="AY28" i="59"/>
  <c r="AW28" i="59"/>
  <c r="BA28" i="59" l="1"/>
  <c r="BQ28" i="59"/>
  <c r="BX11" i="59" l="1"/>
  <c r="BX28" i="59" s="1"/>
  <c r="BT28" i="59"/>
  <c r="BT30" i="59" s="1"/>
  <c r="BX30" i="59" l="1"/>
  <c r="AY28" i="58"/>
  <c r="AZ28" i="58"/>
  <c r="BA28" i="58"/>
  <c r="BB28" i="58"/>
  <c r="BC28" i="58"/>
  <c r="BD28" i="58"/>
  <c r="BE28" i="58"/>
  <c r="BF28" i="58"/>
  <c r="BG28" i="58"/>
  <c r="BH28" i="58"/>
  <c r="BI28" i="58"/>
  <c r="BJ28" i="58"/>
  <c r="BK28" i="58"/>
  <c r="BL28" i="58"/>
  <c r="BM28" i="58"/>
  <c r="BO28" i="58"/>
  <c r="BP28" i="58"/>
  <c r="BR28" i="58"/>
  <c r="BS28" i="58"/>
  <c r="D28" i="58"/>
  <c r="BT27" i="58"/>
  <c r="BT26" i="58"/>
  <c r="BT25" i="58"/>
  <c r="BT24" i="58"/>
  <c r="BT22" i="58"/>
  <c r="BT21" i="58"/>
  <c r="BT20" i="58"/>
  <c r="BT19" i="58"/>
  <c r="BT18" i="58"/>
  <c r="BT17" i="58"/>
  <c r="BT16" i="58"/>
  <c r="BT15" i="58"/>
  <c r="BT14" i="58"/>
  <c r="BT13" i="58"/>
  <c r="BT12" i="58"/>
  <c r="BT11" i="58"/>
  <c r="AV28" i="58"/>
  <c r="AU28" i="58"/>
  <c r="AT28" i="58"/>
  <c r="AQ28" i="58"/>
  <c r="AG28" i="58"/>
  <c r="R28" i="58"/>
  <c r="Q28" i="58"/>
  <c r="N28" i="58"/>
  <c r="H28" i="58"/>
  <c r="G28" i="58"/>
  <c r="F28" i="58"/>
  <c r="E28" i="58"/>
  <c r="AO27" i="58"/>
  <c r="AM27" i="58"/>
  <c r="AN27" i="58"/>
  <c r="AK27" i="58"/>
  <c r="AI27" i="58"/>
  <c r="AF27" i="58"/>
  <c r="AE27" i="58"/>
  <c r="AO26" i="58"/>
  <c r="AN26" i="58"/>
  <c r="AM26" i="58"/>
  <c r="AL26" i="58"/>
  <c r="AJ26" i="58"/>
  <c r="AK26" i="58"/>
  <c r="AH26" i="58"/>
  <c r="AI26" i="58"/>
  <c r="AF26" i="58"/>
  <c r="AO25" i="58"/>
  <c r="AN25" i="58"/>
  <c r="AM25" i="58"/>
  <c r="AL25" i="58"/>
  <c r="AJ25" i="58"/>
  <c r="AK25" i="58"/>
  <c r="AH25" i="58"/>
  <c r="AI25" i="58"/>
  <c r="AF25" i="58"/>
  <c r="AD25" i="58"/>
  <c r="AO24" i="58"/>
  <c r="AN24" i="58"/>
  <c r="AM24" i="58"/>
  <c r="AL24" i="58"/>
  <c r="AJ24" i="58"/>
  <c r="AK24" i="58"/>
  <c r="AH24" i="58"/>
  <c r="AI24" i="58"/>
  <c r="AF24" i="58"/>
  <c r="AD24" i="58"/>
  <c r="AO22" i="58"/>
  <c r="AN22" i="58"/>
  <c r="AM22" i="58"/>
  <c r="AL22" i="58"/>
  <c r="AJ22" i="58"/>
  <c r="AD22" i="58"/>
  <c r="AK22" i="58"/>
  <c r="AH22" i="58"/>
  <c r="AI22" i="58"/>
  <c r="AF22" i="58"/>
  <c r="AP22" i="58"/>
  <c r="AJ21" i="58"/>
  <c r="AK21" i="58"/>
  <c r="AH21" i="58"/>
  <c r="AI21" i="58"/>
  <c r="AF21" i="58"/>
  <c r="AE21" i="58"/>
  <c r="AJ20" i="58"/>
  <c r="AK20" i="58"/>
  <c r="AH20" i="58"/>
  <c r="AI20" i="58"/>
  <c r="AF20" i="58"/>
  <c r="AJ19" i="58"/>
  <c r="AK19" i="58"/>
  <c r="AH19" i="58"/>
  <c r="AI19" i="58"/>
  <c r="AF19" i="58"/>
  <c r="AD19" i="58"/>
  <c r="AP19" i="58"/>
  <c r="AJ18" i="58"/>
  <c r="AK18" i="58"/>
  <c r="AH18" i="58"/>
  <c r="AI18" i="58"/>
  <c r="AF18" i="58"/>
  <c r="AJ17" i="58"/>
  <c r="AH17" i="58"/>
  <c r="AI17" i="58"/>
  <c r="AF17" i="58"/>
  <c r="AJ16" i="58"/>
  <c r="AO16" i="58"/>
  <c r="AK16" i="58"/>
  <c r="AI16" i="58"/>
  <c r="AF16" i="58"/>
  <c r="AD16" i="58"/>
  <c r="AJ15" i="58"/>
  <c r="AO15" i="58"/>
  <c r="AK15" i="58"/>
  <c r="AH15" i="58"/>
  <c r="AI15" i="58"/>
  <c r="AF15" i="58"/>
  <c r="AD15" i="58"/>
  <c r="AJ14" i="58"/>
  <c r="AK14" i="58"/>
  <c r="AH14" i="58"/>
  <c r="AI14" i="58"/>
  <c r="AF14" i="58"/>
  <c r="AD14" i="58"/>
  <c r="AJ13" i="58"/>
  <c r="AO13" i="58"/>
  <c r="AK13" i="58"/>
  <c r="AH13" i="58"/>
  <c r="AI13" i="58"/>
  <c r="AF13" i="58"/>
  <c r="AJ12" i="58"/>
  <c r="AO12" i="58"/>
  <c r="AK12" i="58"/>
  <c r="AH12" i="58"/>
  <c r="AI12" i="58"/>
  <c r="AF12" i="58"/>
  <c r="AP12" i="58"/>
  <c r="AO11" i="58"/>
  <c r="AN11" i="58"/>
  <c r="AM11" i="58"/>
  <c r="AL11" i="58"/>
  <c r="AJ11" i="58"/>
  <c r="AK11" i="58"/>
  <c r="BT28" i="58" l="1"/>
  <c r="AL12" i="58"/>
  <c r="AP25" i="58"/>
  <c r="AP18" i="58"/>
  <c r="AR20" i="58"/>
  <c r="AP24" i="58"/>
  <c r="AM21" i="58"/>
  <c r="AM17" i="58"/>
  <c r="AN19" i="58"/>
  <c r="AD21" i="58"/>
  <c r="AJ28" i="58"/>
  <c r="V28" i="58"/>
  <c r="AN21" i="58"/>
  <c r="AM15" i="58"/>
  <c r="AM19" i="58"/>
  <c r="AL18" i="58"/>
  <c r="AM16" i="58"/>
  <c r="AL16" i="58"/>
  <c r="J28" i="58"/>
  <c r="X28" i="58"/>
  <c r="K28" i="58"/>
  <c r="AL13" i="58"/>
  <c r="AM13" i="58"/>
  <c r="AD17" i="58"/>
  <c r="Y28" i="58"/>
  <c r="L28" i="58"/>
  <c r="AL14" i="58"/>
  <c r="AE16" i="58"/>
  <c r="AN16" i="58"/>
  <c r="AN20" i="58"/>
  <c r="AL20" i="58"/>
  <c r="AR21" i="58"/>
  <c r="AE22" i="58"/>
  <c r="AN18" i="58"/>
  <c r="AL19" i="58"/>
  <c r="AO20" i="58"/>
  <c r="AM20" i="58"/>
  <c r="AE14" i="58"/>
  <c r="AN14" i="58"/>
  <c r="AK17" i="58"/>
  <c r="AK28" i="58" s="1"/>
  <c r="AE15" i="58"/>
  <c r="AP17" i="58"/>
  <c r="AE26" i="58"/>
  <c r="Z28" i="58"/>
  <c r="AE19" i="58"/>
  <c r="AA28" i="58"/>
  <c r="AR18" i="58"/>
  <c r="AO18" i="58"/>
  <c r="AM18" i="58"/>
  <c r="AO19" i="58"/>
  <c r="AD20" i="58"/>
  <c r="AO21" i="58"/>
  <c r="AL27" i="58"/>
  <c r="AP27" i="58"/>
  <c r="AN17" i="58"/>
  <c r="AE20" i="58"/>
  <c r="AR24" i="58"/>
  <c r="AR25" i="58"/>
  <c r="U28" i="58"/>
  <c r="AB28" i="58"/>
  <c r="S28" i="58"/>
  <c r="T28" i="58"/>
  <c r="AM14" i="58"/>
  <c r="AE17" i="58"/>
  <c r="AD27" i="58"/>
  <c r="O28" i="58"/>
  <c r="AM12" i="58"/>
  <c r="AO14" i="58"/>
  <c r="W28" i="58"/>
  <c r="AE11" i="58"/>
  <c r="AD11" i="58"/>
  <c r="AL15" i="58"/>
  <c r="AL17" i="58"/>
  <c r="AN15" i="58"/>
  <c r="AP16" i="58"/>
  <c r="AS28" i="58"/>
  <c r="AR26" i="58"/>
  <c r="AP13" i="58"/>
  <c r="AN13" i="58"/>
  <c r="M28" i="58"/>
  <c r="AR19" i="58"/>
  <c r="AL21" i="58"/>
  <c r="AP26" i="58"/>
  <c r="AF28" i="58"/>
  <c r="AD12" i="58"/>
  <c r="AE12" i="58"/>
  <c r="AD18" i="58"/>
  <c r="P28" i="58"/>
  <c r="AI11" i="58"/>
  <c r="AI28" i="58" s="1"/>
  <c r="AR17" i="58"/>
  <c r="AE18" i="58"/>
  <c r="AE24" i="58"/>
  <c r="AE25" i="58"/>
  <c r="AD26" i="58"/>
  <c r="I28" i="58"/>
  <c r="AC28" i="58"/>
  <c r="AN12" i="58"/>
  <c r="AD13" i="58"/>
  <c r="AE13" i="58"/>
  <c r="AP15" i="58"/>
  <c r="AP20" i="58"/>
  <c r="AH16" i="58"/>
  <c r="AO17" i="58"/>
  <c r="AR15" i="58"/>
  <c r="AM28" i="58" l="1"/>
  <c r="AW16" i="58"/>
  <c r="AX16" i="58" s="1"/>
  <c r="BN16" i="58" s="1"/>
  <c r="BQ16" i="58" s="1"/>
  <c r="BU16" i="58" s="1"/>
  <c r="AW20" i="58"/>
  <c r="AX20" i="58" s="1"/>
  <c r="BN20" i="58" s="1"/>
  <c r="BQ20" i="58" s="1"/>
  <c r="BU20" i="58" s="1"/>
  <c r="AW27" i="58"/>
  <c r="AX27" i="58" s="1"/>
  <c r="BN27" i="58" s="1"/>
  <c r="BQ27" i="58" s="1"/>
  <c r="BU27" i="58" s="1"/>
  <c r="AW17" i="58"/>
  <c r="AX17" i="58" s="1"/>
  <c r="BN17" i="58" s="1"/>
  <c r="BQ17" i="58" s="1"/>
  <c r="BU17" i="58" s="1"/>
  <c r="AW22" i="58"/>
  <c r="AX22" i="58" s="1"/>
  <c r="BN22" i="58" s="1"/>
  <c r="BQ22" i="58" s="1"/>
  <c r="BU22" i="58" s="1"/>
  <c r="AO28" i="58"/>
  <c r="AW21" i="58"/>
  <c r="AX21" i="58" s="1"/>
  <c r="BN21" i="58" s="1"/>
  <c r="BQ21" i="58" s="1"/>
  <c r="BU21" i="58" s="1"/>
  <c r="AL28" i="58"/>
  <c r="AN28" i="58"/>
  <c r="AR28" i="58"/>
  <c r="AW19" i="58"/>
  <c r="AX19" i="58" s="1"/>
  <c r="BN19" i="58" s="1"/>
  <c r="BQ19" i="58" s="1"/>
  <c r="BU19" i="58" s="1"/>
  <c r="AW14" i="58"/>
  <c r="AX14" i="58" s="1"/>
  <c r="BN14" i="58" s="1"/>
  <c r="BQ14" i="58" s="1"/>
  <c r="BU14" i="58" s="1"/>
  <c r="AW26" i="58"/>
  <c r="AX26" i="58" s="1"/>
  <c r="BN26" i="58" s="1"/>
  <c r="BQ26" i="58" s="1"/>
  <c r="BU26" i="58" s="1"/>
  <c r="AW18" i="58"/>
  <c r="AX18" i="58" s="1"/>
  <c r="BN18" i="58" s="1"/>
  <c r="BQ18" i="58" s="1"/>
  <c r="BU18" i="58" s="1"/>
  <c r="AP28" i="58"/>
  <c r="AW25" i="58"/>
  <c r="AX25" i="58" s="1"/>
  <c r="BN25" i="58" s="1"/>
  <c r="BQ25" i="58" s="1"/>
  <c r="BU25" i="58" s="1"/>
  <c r="AW15" i="58"/>
  <c r="AX15" i="58" s="1"/>
  <c r="BN15" i="58" s="1"/>
  <c r="BQ15" i="58" s="1"/>
  <c r="BU15" i="58" s="1"/>
  <c r="AH28" i="58"/>
  <c r="AW24" i="58"/>
  <c r="AX24" i="58" s="1"/>
  <c r="BN24" i="58" s="1"/>
  <c r="BQ24" i="58" s="1"/>
  <c r="BU24" i="58" s="1"/>
  <c r="AE28" i="58"/>
  <c r="AW13" i="58"/>
  <c r="AX13" i="58" s="1"/>
  <c r="BN13" i="58" s="1"/>
  <c r="BQ13" i="58" s="1"/>
  <c r="BU13" i="58" s="1"/>
  <c r="AD28" i="58"/>
  <c r="AW12" i="58"/>
  <c r="AX12" i="58" s="1"/>
  <c r="BN12" i="58" s="1"/>
  <c r="BQ12" i="58" s="1"/>
  <c r="BU12" i="58" s="1"/>
  <c r="AW11" i="58"/>
  <c r="AX11" i="58" s="1"/>
  <c r="AX28" i="58" l="1"/>
  <c r="BN11" i="58"/>
  <c r="BN28" i="58" s="1"/>
  <c r="AW28" i="58"/>
  <c r="BQ11" i="58" l="1"/>
  <c r="BQ28" i="58" s="1"/>
  <c r="BQ30" i="58" l="1"/>
  <c r="BU11" i="58"/>
  <c r="BU28" i="5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E34C62BB-C8E4-4B5F-A8E8-0A461321254E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Theo qđ 4886 24/6/2024</t>
        </r>
      </text>
    </comment>
    <comment ref="E6" authorId="0" shapeId="0" xr:uid="{AD461BD1-164D-4AF9-8DC3-2AA4F15615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Bỏ cột này vì đã có cột H rồi</t>
        </r>
      </text>
    </comment>
    <comment ref="T6" authorId="0" shapeId="0" xr:uid="{484971EF-A0C0-41DD-9D4E-48A622BF207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Xem lại ghi số tháng 5 hay là tháng 6 cho đúng</t>
        </r>
      </text>
    </comment>
    <comment ref="AW6" authorId="0" shapeId="0" xr:uid="{279298A2-565A-4125-9B8E-DDF0FC938F1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Lên bỏ số tháng không cần ghi (vì đây là bảng lương của tháng 6 đã ghi ngay trên đầu biểu rồi</t>
        </r>
      </text>
    </comment>
    <comment ref="AP7" authorId="0" shapeId="0" xr:uid="{DF63C64F-3343-43B0-889D-7F955DD0773E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Bổ sung cột này</t>
        </r>
      </text>
    </comment>
    <comment ref="AD8" authorId="0" shapeId="0" xr:uid="{7B3ABB16-4AE1-4478-ADB6-1F0663BFBF7A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tháng 12 không tạm trả( đủ 100%)</t>
        </r>
      </text>
    </comment>
    <comment ref="AG8" authorId="0" shapeId="0" xr:uid="{0C6BAFDF-FB27-403B-BB3C-1AAB481B6A0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11 không làm BSTN</t>
        </r>
      </text>
    </comment>
    <comment ref="AI8" authorId="0" shapeId="0" xr:uid="{E4FB5954-1986-4490-8540-39763F76C62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thể dồn vào cột AN được vì cùng hưởng 1 mức lương (khi tính lương đát j công thức nhân với cột các loại công là được)</t>
        </r>
      </text>
    </comment>
    <comment ref="AK8" authorId="0" shapeId="0" xr:uid="{43AD9697-E324-4D7B-A568-57479847450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Từ T4/2025</t>
        </r>
      </text>
    </comment>
    <comment ref="A10" authorId="0" shapeId="0" xr:uid="{ED5745F6-D5E6-4A9D-904A-C6CBAFF69F8B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B10" authorId="0" shapeId="0" xr:uid="{ADD4CB7D-4773-4D95-A881-E96641AE9019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C10" authorId="0" shapeId="0" xr:uid="{664BB9EA-CB98-4367-BE07-8382C2BD61E1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AE11" authorId="0" shapeId="0" xr:uid="{8E8E237B-442A-4591-B0FE-ACA4034B0C3A}">
      <text>
        <r>
          <rPr>
            <b/>
            <sz val="9"/>
            <color indexed="81"/>
            <rFont val="Tahoma"/>
            <family val="2"/>
          </rPr>
          <t>Author:
Công thức đặt thiếu khi A chua nhân với ô B6 (85% tạm chi lương)</t>
        </r>
      </text>
    </comment>
    <comment ref="AF11" authorId="0" shapeId="0" xr:uid="{022BA181-B03E-4E41-A913-164EDDFA4E4A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Quản lý Không có lương lễ</t>
        </r>
      </text>
    </comment>
    <comment ref="AG12" authorId="0" shapeId="0" xr:uid="{E7D6ABAE-2B39-4BD3-8D28-7A5106989CA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60%</t>
        </r>
      </text>
    </comment>
    <comment ref="AP14" authorId="0" shapeId="0" xr:uid="{6F5FC689-8FBE-43DA-AA45-0B90544C415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bỏ giảm trừ ra vì T1 không chi BSTN</t>
        </r>
      </text>
    </comment>
    <comment ref="O17" authorId="0" shapeId="0" xr:uid="{6CAD0A61-F842-4AF6-AE9A-7B6C50F8C05C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2 công kiểm kể tính thêm giờ
</t>
        </r>
      </text>
    </comment>
    <comment ref="AP21" authorId="0" shapeId="0" xr:uid="{1840B590-CF4B-4193-853F-5BA06AF329D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Đề nghị tính giảm trừ khi xếp loại B,C</t>
        </r>
      </text>
    </comment>
    <comment ref="D24" authorId="0" shapeId="0" xr:uid="{D45F15C5-AD70-4ACA-8F09-E55C73AB3E88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QĐ số 8707 29/11/2024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224D2C31-D46A-439B-AAFA-E3BCECDC9026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Theo qđ 4886 24/6/2024</t>
        </r>
      </text>
    </comment>
    <comment ref="E6" authorId="0" shapeId="0" xr:uid="{4026F63E-753D-4EFB-ABFB-0E351EE29B7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Bỏ cột này vì đã có cột H rồi</t>
        </r>
      </text>
    </comment>
    <comment ref="T6" authorId="0" shapeId="0" xr:uid="{93296FA1-6A7D-45A2-B968-164947109CA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Xem lại ghi số tháng 5 hay là tháng 6 cho đúng</t>
        </r>
      </text>
    </comment>
    <comment ref="AW6" authorId="0" shapeId="0" xr:uid="{1DD23900-6DCE-4BE4-9EA5-56023656D3D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Lên bỏ số tháng không cần ghi (vì đây là bảng lương của tháng 6 đã ghi ngay trên đầu biểu rồi</t>
        </r>
      </text>
    </comment>
    <comment ref="AX6" authorId="0" shapeId="0" xr:uid="{E73ECA7C-55CE-44B7-905D-04211FDD71B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cần ghi (vì đây là bảng lương của tháng 6 đã ghi ngay trên đầu biểu rồi</t>
        </r>
      </text>
    </comment>
    <comment ref="AP7" authorId="0" shapeId="0" xr:uid="{1FA2E814-C7FF-44E3-BC7E-0700AFBE75DD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Bổ sung cột này</t>
        </r>
      </text>
    </comment>
    <comment ref="AD8" authorId="0" shapeId="0" xr:uid="{12314F2D-164A-40A7-BB73-62C5914CF3A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tháng 12 không tạm trả( đủ 100%)</t>
        </r>
      </text>
    </comment>
    <comment ref="AG8" authorId="0" shapeId="0" xr:uid="{9AAD7A1A-8D07-4B82-8DD3-27477489A94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11 không làm BSTN</t>
        </r>
      </text>
    </comment>
    <comment ref="AI8" authorId="0" shapeId="0" xr:uid="{3E877189-D61E-477C-8EE1-B2891C0F5A8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thể dồn vào cột AN được vì cùng hưởng 1 mức lương (khi tính lương đát j công thức nhân với cột các loại công là được)</t>
        </r>
      </text>
    </comment>
    <comment ref="AK8" authorId="0" shapeId="0" xr:uid="{3019928A-9800-4871-9E78-F20D602347D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Từ T4/2025</t>
        </r>
      </text>
    </comment>
    <comment ref="A10" authorId="0" shapeId="0" xr:uid="{CCFAD73F-220C-406F-932D-907E950A3FB5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B10" authorId="0" shapeId="0" xr:uid="{3BDAA776-897A-4941-AF8B-4A23DB87B898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C10" authorId="0" shapeId="0" xr:uid="{6B617AAC-CAF3-4572-9D63-CF111D1E53AE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AE11" authorId="0" shapeId="0" xr:uid="{6CAF36F2-44BE-4AC7-BB3B-4D1531BDC8AB}">
      <text>
        <r>
          <rPr>
            <b/>
            <sz val="9"/>
            <color indexed="81"/>
            <rFont val="Tahoma"/>
            <family val="2"/>
          </rPr>
          <t>Author:
Công thức đặt thiếu khi A chua nhân với ô B6 (85% tạm chi lương)</t>
        </r>
      </text>
    </comment>
    <comment ref="AF11" authorId="0" shapeId="0" xr:uid="{BE05F935-3C45-4430-8139-F762CC26560F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Quản lý Không có lương lễ</t>
        </r>
      </text>
    </comment>
    <comment ref="AG12" authorId="0" shapeId="0" xr:uid="{8B4A330D-125B-4D52-AD4B-822254F6069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60%</t>
        </r>
      </text>
    </comment>
    <comment ref="O18" authorId="0" shapeId="0" xr:uid="{20A90D50-EC8E-427B-B5E0-92DCEF4B770E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2 công kiểm kể tính thêm giờ
</t>
        </r>
      </text>
    </comment>
    <comment ref="AP22" authorId="0" shapeId="0" xr:uid="{434A47EC-8601-4AB2-B8CE-49C89281E00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Đề nghị tính giảm trừ khi xếp loại B,C</t>
        </r>
      </text>
    </comment>
    <comment ref="D24" authorId="0" shapeId="0" xr:uid="{ED9A61D4-4F2E-4F5F-8507-2856CED25E8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QĐ số 8707 29/11/2024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2F2D1DA7-CC9B-4D23-B2FD-E81FE896C12E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Theo qđ 4886 24/6/2024</t>
        </r>
      </text>
    </comment>
    <comment ref="E6" authorId="0" shapeId="0" xr:uid="{A9A4BA76-32E1-48C8-8C7E-0E4A67B06AA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Bỏ cột này vì đã có cột H rồi</t>
        </r>
      </text>
    </comment>
    <comment ref="T6" authorId="0" shapeId="0" xr:uid="{43EAA620-E73D-4B2A-AF9B-12F12CEB04F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Xem lại ghi số tháng 5 hay là tháng 6 cho đúng</t>
        </r>
      </text>
    </comment>
    <comment ref="AW6" authorId="0" shapeId="0" xr:uid="{1BFFCFC3-AC2E-4EE7-AF17-44ACFA6ECB8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Lên bỏ số tháng không cần ghi (vì đây là bảng lương của tháng 6 đã ghi ngay trên đầu biểu rồi</t>
        </r>
      </text>
    </comment>
    <comment ref="AP7" authorId="0" shapeId="0" xr:uid="{B205D132-E54C-436E-8D16-2B99FDC37D12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Bổ sung cột này( không giảm trừ )</t>
        </r>
      </text>
    </comment>
    <comment ref="AD8" authorId="0" shapeId="0" xr:uid="{5C9BCE80-FD28-49DA-AC40-23E80315EE66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tháng 12 không tạm trả( đủ 100%)</t>
        </r>
      </text>
    </comment>
    <comment ref="AG8" authorId="0" shapeId="0" xr:uid="{935CE34B-F63A-4A74-A017-1EB5EB8AE9A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03không làm BSTN</t>
        </r>
      </text>
    </comment>
    <comment ref="AI8" authorId="0" shapeId="0" xr:uid="{1B56FE4B-DB38-42ED-A504-B3CDF0FC53A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thể dồn vào cột AN được vì cùng hưởng 1 mức lương (khi tính lương đát j công thức nhân với cột các loại công là được)</t>
        </r>
      </text>
    </comment>
    <comment ref="AK8" authorId="0" shapeId="0" xr:uid="{99F98C6F-E01A-4B7B-8990-047D0B5451E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Từ T4/2025</t>
        </r>
      </text>
    </comment>
    <comment ref="A10" authorId="0" shapeId="0" xr:uid="{DC515E9B-EE3D-42DA-804D-48B4DB531429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B10" authorId="0" shapeId="0" xr:uid="{A8DB7178-064A-4DD9-B2DB-C58B397FA052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C10" authorId="0" shapeId="0" xr:uid="{8E97D022-4706-471D-A82F-C1AD30A63541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AE11" authorId="0" shapeId="0" xr:uid="{9ED96722-06B2-4E69-B528-28DC48F9A095}">
      <text>
        <r>
          <rPr>
            <b/>
            <sz val="9"/>
            <color indexed="81"/>
            <rFont val="Tahoma"/>
            <family val="2"/>
          </rPr>
          <t>Author:
Công thức đặt thiếu khi A chua nhân với ô B6 (85% tạm chi lương)</t>
        </r>
      </text>
    </comment>
    <comment ref="AF11" authorId="0" shapeId="0" xr:uid="{52704AAD-FC1B-4CC3-906E-B8F1EFB46A66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Quản lý Không có lương lễ</t>
        </r>
      </text>
    </comment>
    <comment ref="AG12" authorId="0" shapeId="0" xr:uid="{7172DBE2-DABE-4988-98C3-9D623F15602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60%</t>
        </r>
      </text>
    </comment>
    <comment ref="O18" authorId="0" shapeId="0" xr:uid="{4F9F558D-F90B-48D4-98F4-164CA1ABF8C5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2 công kiểm kể tính thêm giờ
</t>
        </r>
      </text>
    </comment>
    <comment ref="AP21" authorId="0" shapeId="0" xr:uid="{48BE879A-7AB6-4F91-8B94-165EF65EC66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Đề nghị tính giảm trừ khi xếp loại B,C</t>
        </r>
      </text>
    </comment>
    <comment ref="D24" authorId="0" shapeId="0" xr:uid="{9DB133C0-ECC9-49A8-AB70-FA8A30C68799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QĐ số 8707 29/11/2024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48773C9D-F4DC-4CE0-8500-BB4E17760B94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Theo qđ 4886 24/6/2024</t>
        </r>
      </text>
    </comment>
    <comment ref="E6" authorId="0" shapeId="0" xr:uid="{97D16979-28E5-4B46-AEF5-BD2344F5478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Bỏ cột này vì đã có cột H rồi</t>
        </r>
      </text>
    </comment>
    <comment ref="T6" authorId="0" shapeId="0" xr:uid="{EDFE42CE-A0F9-47A1-BF6D-536EF2C61A9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Xem lại ghi số tháng 5 hay là tháng 6 cho đúng</t>
        </r>
      </text>
    </comment>
    <comment ref="AW6" authorId="0" shapeId="0" xr:uid="{4C4FABF9-212E-4069-A60F-B8F37A95D92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Lên bỏ số tháng không cần ghi (vì đây là bảng lương của tháng 6 đã ghi ngay trên đầu biểu rồi</t>
        </r>
      </text>
    </comment>
    <comment ref="AP7" authorId="0" shapeId="0" xr:uid="{8AEE125B-A49F-4BA6-B565-66C8497A7C2D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Bổ sung cột này( không giảm trừ )</t>
        </r>
      </text>
    </comment>
    <comment ref="AD8" authorId="0" shapeId="0" xr:uid="{D5205CDD-8EC7-4193-931F-3FC24A244A9F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tháng 12 không tạm trả( đủ 100%)</t>
        </r>
      </text>
    </comment>
    <comment ref="AG8" authorId="0" shapeId="0" xr:uid="{C2779673-7A7F-4A8F-856D-E1AD07B5D35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03không làm BSTN</t>
        </r>
      </text>
    </comment>
    <comment ref="AI8" authorId="0" shapeId="0" xr:uid="{AF3AE3A2-D795-41FC-9679-5B3FD01314E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thể dồn vào cột AN được vì cùng hưởng 1 mức lương (khi tính lương đát j công thức nhân với cột các loại công là được)</t>
        </r>
      </text>
    </comment>
    <comment ref="AK8" authorId="0" shapeId="0" xr:uid="{95187C86-AEE4-44D0-A0E6-0FB2A1E41E9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Từ T4/2025</t>
        </r>
      </text>
    </comment>
    <comment ref="A10" authorId="0" shapeId="0" xr:uid="{6B6A5738-AD68-4450-BDE2-593CDC689D77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B10" authorId="0" shapeId="0" xr:uid="{650CCFE9-7184-4090-B3C7-1C1EC562E422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C10" authorId="0" shapeId="0" xr:uid="{C8E14C36-3BB5-436F-A9C3-FF3F55D377B4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AE11" authorId="0" shapeId="0" xr:uid="{4DBCBD2F-C97B-478E-88A1-BF9D516D23F0}">
      <text>
        <r>
          <rPr>
            <b/>
            <sz val="9"/>
            <color indexed="81"/>
            <rFont val="Tahoma"/>
            <family val="2"/>
          </rPr>
          <t>Author:
Công thức đặt thiếu khi A chua nhân với ô B6 (85% tạm chi lương)</t>
        </r>
      </text>
    </comment>
    <comment ref="AF11" authorId="0" shapeId="0" xr:uid="{8E1BEB00-2BC4-446A-B560-7DCDADAF2A7D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Quản lý Không có lương lễ</t>
        </r>
      </text>
    </comment>
    <comment ref="AG12" authorId="0" shapeId="0" xr:uid="{684F196E-268C-4F6C-898B-86DBB90C6CA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60%</t>
        </r>
      </text>
    </comment>
    <comment ref="O18" authorId="0" shapeId="0" xr:uid="{53BB2186-C207-42D9-9C62-ADC48D93ED45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2 công kiểm kể tính thêm giờ
</t>
        </r>
      </text>
    </comment>
    <comment ref="AP21" authorId="0" shapeId="0" xr:uid="{A2A7C862-9B63-43E2-A641-27363CF696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Đề nghị tính giảm trừ khi xếp loại B,C</t>
        </r>
      </text>
    </comment>
    <comment ref="D24" authorId="0" shapeId="0" xr:uid="{0F381C6C-23C8-4692-906A-8A0588F5E1F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QĐ số 8707 29/11/2024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7F74AC06-0F5B-425A-AE41-950AAC117904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Theo qđ 4886 24/6/2024</t>
        </r>
      </text>
    </comment>
    <comment ref="E6" authorId="0" shapeId="0" xr:uid="{5EABCA14-6428-4244-A468-18FA97AD15B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Bỏ cột này vì đã có cột H rồi</t>
        </r>
      </text>
    </comment>
    <comment ref="T6" authorId="0" shapeId="0" xr:uid="{867E1430-18EB-4BE2-86EE-EE4F97D3522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Xem lại ghi số tháng 5 hay là tháng 6 cho đúng</t>
        </r>
      </text>
    </comment>
    <comment ref="AW6" authorId="0" shapeId="0" xr:uid="{6CB8FE54-BEB6-4E35-94D4-26D1230AD4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Lên bỏ số tháng không cần ghi (vì đây là bảng lương của tháng 6 đã ghi ngay trên đầu biểu rồi</t>
        </r>
      </text>
    </comment>
    <comment ref="AP7" authorId="0" shapeId="0" xr:uid="{65C4FCD7-D7A1-4287-97F3-E93FA957A375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Bổ sung cột này( không giảm trừ )</t>
        </r>
      </text>
    </comment>
    <comment ref="AD8" authorId="0" shapeId="0" xr:uid="{F6B7D626-61BA-4DB4-88E1-526E54523274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tháng 12 không tạm trả( đủ 100%)</t>
        </r>
      </text>
    </comment>
    <comment ref="AG8" authorId="0" shapeId="0" xr:uid="{5D7122DA-CB03-42D9-9A6C-4B03F8A0C50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03không làm BSTN</t>
        </r>
      </text>
    </comment>
    <comment ref="AI8" authorId="0" shapeId="0" xr:uid="{7EBD4508-3E3F-42C1-92AB-20756EEDE22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thể dồn vào cột AN được vì cùng hưởng 1 mức lương (khi tính lương đát j công thức nhân với cột các loại công là được)</t>
        </r>
      </text>
    </comment>
    <comment ref="AK8" authorId="0" shapeId="0" xr:uid="{EE763B8B-E00D-41F2-9A0D-850CBF350D6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Từ T4/2025</t>
        </r>
      </text>
    </comment>
    <comment ref="A10" authorId="0" shapeId="0" xr:uid="{8702129C-C4F9-454D-B8F0-4E606C67FA90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B10" authorId="0" shapeId="0" xr:uid="{D8911FDB-57F0-4211-846F-7C8B3034EF65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C10" authorId="0" shapeId="0" xr:uid="{6CB66BD0-A330-42DB-9874-3414D6071867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AE11" authorId="0" shapeId="0" xr:uid="{AB9983A3-793E-43DA-B5A2-28E45ECDC434}">
      <text>
        <r>
          <rPr>
            <b/>
            <sz val="9"/>
            <color indexed="81"/>
            <rFont val="Tahoma"/>
            <family val="2"/>
          </rPr>
          <t>Author:
Công thức đặt thiếu khi A chua nhân với ô B6 (85% tạm chi lương)</t>
        </r>
      </text>
    </comment>
    <comment ref="AF11" authorId="0" shapeId="0" xr:uid="{977778E0-F394-463E-9251-2592FE295868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Quản lý Không có lương lễ</t>
        </r>
      </text>
    </comment>
    <comment ref="AG12" authorId="0" shapeId="0" xr:uid="{F00ECF69-2F08-42A9-969F-4785CE4E352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60%</t>
        </r>
      </text>
    </comment>
    <comment ref="O18" authorId="0" shapeId="0" xr:uid="{970F559C-C33C-4ED3-87FC-F212EEC659E1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2 công kiểm kể tính thêm giờ
</t>
        </r>
      </text>
    </comment>
    <comment ref="AP21" authorId="0" shapeId="0" xr:uid="{E2DBCE26-59FE-482B-96BD-F41F7FFD25A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Đề nghị tính giảm trừ khi xếp loại B,C</t>
        </r>
      </text>
    </comment>
    <comment ref="D24" authorId="0" shapeId="0" xr:uid="{0F0A9347-1F65-4806-AEF4-878369C10007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QĐ số 8707 29/11/2024</t>
        </r>
      </text>
    </comment>
  </commentList>
</comments>
</file>

<file path=xl/sharedStrings.xml><?xml version="1.0" encoding="utf-8"?>
<sst xmlns="http://schemas.openxmlformats.org/spreadsheetml/2006/main" count="791" uniqueCount="168">
  <si>
    <t>TT</t>
  </si>
  <si>
    <t>Họ và tên</t>
  </si>
  <si>
    <t>Chức danh công việc</t>
  </si>
  <si>
    <t>Tiền lương chức danh công việc</t>
  </si>
  <si>
    <t>Các khoản phụ cấp</t>
  </si>
  <si>
    <t>Xếp loại LĐ</t>
  </si>
  <si>
    <t>Số công trong tháng hưởng lương</t>
  </si>
  <si>
    <t>Công trong tháng không hưởng lương</t>
  </si>
  <si>
    <t xml:space="preserve">Tiền lương cơ bản </t>
  </si>
  <si>
    <t>Tiền lương nghỉ lễ</t>
  </si>
  <si>
    <t>Tiền lương chất lượng được giao</t>
  </si>
  <si>
    <t>Tiền lương chất lượng đã chi theo xếp loại tháng</t>
  </si>
  <si>
    <t>Tiền lương chất lượng được giao còn chưa chi</t>
  </si>
  <si>
    <t>Họ và tên</t>
  </si>
  <si>
    <t>Công đi làm</t>
  </si>
  <si>
    <t>&lt;30 km</t>
  </si>
  <si>
    <t>≥30 km</t>
  </si>
  <si>
    <t>Công nghỉ việc riêng, tạm hoãn HĐ</t>
  </si>
  <si>
    <t>Mức lương</t>
  </si>
  <si>
    <t>Phụ cấp trách nhiệm</t>
  </si>
  <si>
    <t xml:space="preserve">Nguyễn Việt Hải </t>
  </si>
  <si>
    <t>A</t>
  </si>
  <si>
    <t>Tô Huy Lượng</t>
  </si>
  <si>
    <t>Vũ Thanh Thảo</t>
  </si>
  <si>
    <t>GV</t>
  </si>
  <si>
    <t>Dương Công Minh</t>
  </si>
  <si>
    <t>Đặng Văn Tuệ</t>
  </si>
  <si>
    <t>Nguyễn Duy Anh</t>
  </si>
  <si>
    <t>Lý Sinh Quý</t>
  </si>
  <si>
    <t>Tổng cộng</t>
  </si>
  <si>
    <t>Các khoản trừ</t>
  </si>
  <si>
    <t>PC ATVSV</t>
  </si>
  <si>
    <t>Tiền còn lĩnh sau các khoản trừ</t>
  </si>
  <si>
    <t xml:space="preserve">Công CN </t>
  </si>
  <si>
    <t>Số tiền CN</t>
  </si>
  <si>
    <t>Tổng số tiền chuyển lương và CN</t>
  </si>
  <si>
    <t>Trừ 8% BHXH</t>
  </si>
  <si>
    <t xml:space="preserve">Trừ 1,5% BHYT </t>
  </si>
  <si>
    <t>Trừ 1% BHTN</t>
  </si>
  <si>
    <t>Quỹ mái ấm công đoàn</t>
  </si>
  <si>
    <t>Trừ tiền  vay XN  TK 1388</t>
  </si>
  <si>
    <t xml:space="preserve">Trừ  tiền nhà ở, điện nước </t>
  </si>
  <si>
    <t>Trừ tiền nuôi con theo QĐ toàn án + Phí CT</t>
  </si>
  <si>
    <t>QT thuế TNCN 6T</t>
  </si>
  <si>
    <t>Cộng các khoản trừ</t>
  </si>
  <si>
    <t>Trần Trọng Lưu</t>
  </si>
  <si>
    <t>Bùi Thế Luyên</t>
  </si>
  <si>
    <t>Phó PH- TK</t>
  </si>
  <si>
    <t>Nguyễn Công San</t>
  </si>
  <si>
    <t>Hệ GDTX</t>
  </si>
  <si>
    <t>Nghề khác</t>
  </si>
  <si>
    <t>Điện thoại</t>
  </si>
  <si>
    <t>Tiền lương chất lượng công việc</t>
  </si>
  <si>
    <t>TT tổ ĐTBDSC</t>
  </si>
  <si>
    <t>Thạch Quang Nguyên</t>
  </si>
  <si>
    <t>Lê Công Hải</t>
  </si>
  <si>
    <t>Đỗ Nguyên Đạt</t>
  </si>
  <si>
    <t>CNSC</t>
  </si>
  <si>
    <t>B</t>
  </si>
  <si>
    <t>Nguyễn Thị Thu Phương</t>
  </si>
  <si>
    <t>Nguyễn Hoàng Oanh</t>
  </si>
  <si>
    <t>Thực hiện cắt Polyp ở đợt khám sức khỏe</t>
  </si>
  <si>
    <t>Hà Thị Thanh Hoa</t>
  </si>
  <si>
    <t>Tham quan Hồng Kông đoàn 1</t>
  </si>
  <si>
    <t>Nhóm 1</t>
  </si>
  <si>
    <t>Tiền lương sửa chữa, Làm thêm giờ</t>
  </si>
  <si>
    <t>Trừ thuế TNCN T12-2024</t>
  </si>
  <si>
    <t>Trừ thuế TNCN T1-2025</t>
  </si>
  <si>
    <t xml:space="preserve">   TRƯỜNG CAO ĐẲNG THAN - KHOÁNG SẢN VIỆT NAM</t>
  </si>
  <si>
    <t>KHOA CƠ KHÍ, VẬN HÀNH THIẾT BỊ MỎ, PHÂN HIỆU ĐÀO TẠO CẨM PHẢ</t>
  </si>
  <si>
    <t>Tổng lương tháng 01</t>
  </si>
  <si>
    <t>Biểu 06</t>
  </si>
  <si>
    <t>TẬP ĐOÀN CÔNG NGHIỆP THAN - KHOÁNG SẢN VIỆT NAM</t>
  </si>
  <si>
    <t>Mức tiền lương cơ bản (đ/tháng)</t>
  </si>
  <si>
    <t>Tổng lương tháng 02</t>
  </si>
  <si>
    <t>Tiền lương</t>
  </si>
  <si>
    <t>Công nghỉ lễ</t>
  </si>
  <si>
    <t>Công thử việc</t>
  </si>
  <si>
    <t>Lương phép, hè, học, BD, khác( hưởng lương BHXH)</t>
  </si>
  <si>
    <t>Lương thử việc</t>
  </si>
  <si>
    <t>PC Trách nhiệm</t>
  </si>
  <si>
    <t>PC giáo viên giỏi</t>
  </si>
  <si>
    <t>Khác, 
 / Truy lĩnh nâng lương chức danh T1/2025 (+)</t>
  </si>
  <si>
    <t xml:space="preserve">Khác, 
Truy thu (-) </t>
  </si>
  <si>
    <t>Công không hưởng lương; Công nghỉ hưởng BHXH</t>
  </si>
  <si>
    <t>Các phụ cấp</t>
  </si>
  <si>
    <t xml:space="preserve">Công khác (học, kiểm kê,..)hưởng thêm giờ </t>
  </si>
  <si>
    <t>Công s/c vượt, thêm giờ</t>
  </si>
  <si>
    <t>TBM CN ô tô-VHTB</t>
  </si>
  <si>
    <t>TBM CK-TK</t>
  </si>
  <si>
    <t>BHTT năm 2025</t>
  </si>
  <si>
    <t>Công hưởng lương chức danh ( học, họp, VN,)</t>
  </si>
  <si>
    <t>Tiền lương BSTN tạm trả</t>
  </si>
  <si>
    <t>Tiền lương chức danh khác</t>
  </si>
  <si>
    <t>Giảm trừ BSTN do xếp loại B,C</t>
  </si>
  <si>
    <t>Công khác (phép, học, họp, VN, BD, viêc riêng) hưởng lương BH</t>
  </si>
  <si>
    <t>Từ T1÷3/2025</t>
  </si>
  <si>
    <t>Trừ 0,5% ĐP công đoàn</t>
  </si>
  <si>
    <t>PC - ATV</t>
  </si>
  <si>
    <t>Tiền lương hưởng trong tháng</t>
  </si>
  <si>
    <t>(A)</t>
  </si>
  <si>
    <t>(B)</t>
  </si>
  <si>
    <t>(C)</t>
  </si>
  <si>
    <t>(27=21+…+26)</t>
  </si>
  <si>
    <t>(29=20-27+28)</t>
  </si>
  <si>
    <t>(33=29+30+32)</t>
  </si>
  <si>
    <t>(3)</t>
  </si>
  <si>
    <t>Chu Hoàng Dương</t>
  </si>
  <si>
    <t>GV thử việc</t>
  </si>
  <si>
    <t>Tiền lương chất lượng</t>
  </si>
  <si>
    <t>Trừ thuế TNCN T12.2025</t>
  </si>
  <si>
    <t>Trừ thuế TNCN T01.2026</t>
  </si>
  <si>
    <t xml:space="preserve">                       BẢNG THANH TOÁN TIỀN LƯƠNG THÁNG 01/2026 </t>
  </si>
  <si>
    <t>Tiền lương đóng BHXH năm 2026</t>
  </si>
  <si>
    <t>Giờ vượt thanh toán tháng 01/2026</t>
  </si>
  <si>
    <t>Năm 2025</t>
  </si>
  <si>
    <t>Lương vượt giờ  Từ T01/2026</t>
  </si>
  <si>
    <t>Lương vượt giờ  năm 2025</t>
  </si>
  <si>
    <t xml:space="preserve">Lương tuyển sinh Hệ A, ngắn hạn </t>
  </si>
  <si>
    <t xml:space="preserve">Lương Tuyển sinh Ngắn hạn </t>
  </si>
  <si>
    <t>Từ T1/2026</t>
  </si>
  <si>
    <t>27=17+…+26</t>
  </si>
  <si>
    <t xml:space="preserve">                       BẢNG THANH TOÁN TIỀN LƯƠNG THÁNG 02/2026 </t>
  </si>
  <si>
    <t>Giờ vượt thanh toán tháng 02/2026</t>
  </si>
  <si>
    <t xml:space="preserve">Khác, 
Truy thu tiền lương chất lượng T01/2026 do sai lương chức danh(-) </t>
  </si>
  <si>
    <r>
      <t xml:space="preserve">Từ </t>
    </r>
    <r>
      <rPr>
        <b/>
        <sz val="11"/>
        <color rgb="FFFF0000"/>
        <rFont val="Times New Roman"/>
        <family val="1"/>
      </rPr>
      <t>T1</t>
    </r>
    <r>
      <rPr>
        <b/>
        <sz val="11"/>
        <rFont val="Times New Roman"/>
        <family val="1"/>
      </rPr>
      <t>/2026</t>
    </r>
  </si>
  <si>
    <t>Trừ thuế TNCN T02.2026</t>
  </si>
  <si>
    <t>Đơn vị tính: Đồng</t>
  </si>
  <si>
    <t>(34=28+…+33)</t>
  </si>
  <si>
    <t>(38=35+37)</t>
  </si>
  <si>
    <t xml:space="preserve">                       BẢNG THANH TOÁN TIỀN LƯƠNG THÁNG 03/2026 </t>
  </si>
  <si>
    <t>Giờ vượt thanh toán tháng 03/2026</t>
  </si>
  <si>
    <t>Tổng lương tháng 03</t>
  </si>
  <si>
    <r>
      <t xml:space="preserve">Từ </t>
    </r>
    <r>
      <rPr>
        <sz val="11"/>
        <color rgb="FFFF0000"/>
        <rFont val="Times New Roman"/>
        <family val="1"/>
      </rPr>
      <t>T1</t>
    </r>
    <r>
      <rPr>
        <sz val="11"/>
        <rFont val="Times New Roman"/>
        <family val="1"/>
      </rPr>
      <t>/2026</t>
    </r>
  </si>
  <si>
    <t>(18=13+…17)</t>
  </si>
  <si>
    <t>C</t>
  </si>
  <si>
    <t>GVBD</t>
  </si>
  <si>
    <t>Quảng Ninh, ngày       tháng 01 năm 2026</t>
  </si>
  <si>
    <t>Quảng Ninh, ngày      tháng 04 năm 2026</t>
  </si>
  <si>
    <t>TRƯỞNG KHOA</t>
  </si>
  <si>
    <t>TP. TỔ CHỨC LĐ</t>
  </si>
  <si>
    <t>KT. HIỆU TRƯỞNG</t>
  </si>
  <si>
    <t>PHÂN HIỆU TRƯỞNG</t>
  </si>
  <si>
    <t>TP TỔ CHỨC LAO ĐỘNG</t>
  </si>
  <si>
    <t>PHÓ HIỆU TRƯỞNG</t>
  </si>
  <si>
    <t>Nguyễn Việt Hải</t>
  </si>
  <si>
    <t>Nguyễn Việt Tùng</t>
  </si>
  <si>
    <t>Nguyễn Thị Nhung</t>
  </si>
  <si>
    <t>Vũ Hồng Thái</t>
  </si>
  <si>
    <t>Trừ thuế TNCN T3.2026</t>
  </si>
  <si>
    <t>(25=19+…24)</t>
  </si>
  <si>
    <t>(27+28+30)</t>
  </si>
  <si>
    <t>Giờ vượt thanh toán tháng 4/2026</t>
  </si>
  <si>
    <t xml:space="preserve">                       BẢNG THANH TOÁN TIỀN LƯƠNG THÁNG 4/2026 </t>
  </si>
  <si>
    <t>Tiền lương được chi trong tháng</t>
  </si>
  <si>
    <t>BHTT năm 2026</t>
  </si>
  <si>
    <t>Trừ thuế TNCN T4.2026</t>
  </si>
  <si>
    <t>(27=19+...+26)</t>
  </si>
  <si>
    <t>(29=18-27+28)</t>
  </si>
  <si>
    <t>(34=29+31+33)</t>
  </si>
  <si>
    <t>Xét nghiệm sinh tiết + Cắt Polyp</t>
  </si>
  <si>
    <t>Giờ vượt thanh toán tháng 5/2026</t>
  </si>
  <si>
    <t>Tổng lương tháng 5</t>
  </si>
  <si>
    <t>(22=15+…+21)</t>
  </si>
  <si>
    <t>Quảng Ninh, ngày      tháng 05 năm 2026</t>
  </si>
  <si>
    <t>Trừ thuế TNCN T5.2026</t>
  </si>
  <si>
    <t xml:space="preserve">                       BẢNG THANH TOÁN TIỀN LƯƠNG THÁNG 5/2026 </t>
  </si>
  <si>
    <r>
      <t xml:space="preserve">Từ </t>
    </r>
    <r>
      <rPr>
        <b/>
        <sz val="10"/>
        <rFont val="Times New Roman"/>
        <family val="1"/>
      </rPr>
      <t>T1/2026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</si>
</sst>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 * #,##0_ ;_ * \-#,##0_ ;_ * &quot;-&quot;??_ ;_ @_ "/>
    <numFmt numFmtId="166" formatCode="_ * #,##0.0_ ;_ * \-#,##0.0_ ;_ * &quot;-&quot;??_ ;_ @_ "/>
    <numFmt numFmtId="167" formatCode="_ * #,##0.00_ ;_ * \-#,##0.00_ ;_ * &quot;-&quot;??_ ;_ @_ "/>
    <numFmt numFmtId="168" formatCode="0.0%"/>
    <numFmt numFmtId="169" formatCode="_(* #,##0_);_(* \(#,##0\);_(* &quot;-&quot;??_);_(@_)"/>
    <numFmt numFmtId="170" formatCode="_(* #,##0.0_);_(* \(#,##0.0\);_(* &quot;-&quot;??_);_(@_)"/>
    <numFmt numFmtId="171" formatCode="#,##0.0"/>
  </numFmts>
  <fonts count="6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2"/>
      <name val=".VnTime"/>
      <family val="2"/>
    </font>
    <font>
      <sz val="8"/>
      <name val="Times New Roman"/>
      <family val="1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1"/>
      <color indexed="8"/>
      <name val="Times New Roman"/>
      <family val="2"/>
    </font>
    <font>
      <sz val="10"/>
      <name val="Arial"/>
      <family val="2"/>
      <charset val="163"/>
    </font>
    <font>
      <sz val="11"/>
      <color indexed="8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</font>
    <font>
      <sz val="11"/>
      <color theme="1"/>
      <name val="Times New Roman"/>
      <family val="2"/>
      <charset val="163"/>
    </font>
    <font>
      <b/>
      <u/>
      <sz val="12"/>
      <name val="Times New Roman"/>
      <family val="1"/>
    </font>
    <font>
      <sz val="10"/>
      <name val=".VnTime"/>
      <family val="2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/>
      <name val="Times New Roman"/>
      <family val="1"/>
    </font>
    <font>
      <sz val="12"/>
      <color rgb="FF0000FF"/>
      <name val="Times New Roman"/>
      <family val="1"/>
    </font>
    <font>
      <b/>
      <sz val="9"/>
      <color indexed="81"/>
      <name val="Tahoma"/>
      <family val="2"/>
      <charset val="163"/>
    </font>
    <font>
      <sz val="12"/>
      <color rgb="FFFF0000"/>
      <name val="Times New Roman"/>
      <family val="1"/>
    </font>
    <font>
      <sz val="11"/>
      <color rgb="FF0000FF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  <charset val="163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  <font>
      <b/>
      <u/>
      <sz val="14"/>
      <color rgb="FF0000FF"/>
      <name val="Times New Roman"/>
      <family val="1"/>
    </font>
    <font>
      <sz val="14"/>
      <color rgb="FF0000FF"/>
      <name val="Times New Roman"/>
      <family val="1"/>
    </font>
    <font>
      <b/>
      <sz val="12"/>
      <color rgb="FFFF0000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2"/>
      <scheme val="major"/>
    </font>
    <font>
      <sz val="12"/>
      <color rgb="FF0000FF"/>
      <name val="Cambria"/>
      <family val="1"/>
      <scheme val="major"/>
    </font>
    <font>
      <b/>
      <sz val="11"/>
      <color rgb="FFFF0000"/>
      <name val="Times New Roman"/>
      <family val="1"/>
    </font>
    <font>
      <sz val="11"/>
      <name val="Cambria"/>
      <family val="1"/>
      <scheme val="major"/>
    </font>
    <font>
      <i/>
      <sz val="9"/>
      <name val="Times New Roman"/>
      <family val="1"/>
    </font>
    <font>
      <sz val="9"/>
      <name val="Cambria"/>
      <family val="1"/>
      <scheme val="major"/>
    </font>
    <font>
      <b/>
      <sz val="12"/>
      <name val="Times New Roman"/>
      <family val="1"/>
      <charset val="163"/>
    </font>
    <font>
      <b/>
      <sz val="12"/>
      <name val="Cambria"/>
      <family val="1"/>
      <charset val="163"/>
      <scheme val="major"/>
    </font>
    <font>
      <b/>
      <sz val="11"/>
      <name val="Times New Roman"/>
      <family val="1"/>
      <charset val="163"/>
    </font>
    <font>
      <b/>
      <sz val="9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0"/>
      <color rgb="FF0000FF"/>
      <name val="Times New Roman"/>
      <family val="1"/>
      <charset val="163"/>
    </font>
    <font>
      <b/>
      <sz val="11"/>
      <color rgb="FF0000FF"/>
      <name val="Times New Roman"/>
      <family val="1"/>
      <charset val="163"/>
    </font>
    <font>
      <sz val="14"/>
      <name val="Cambria"/>
      <family val="1"/>
      <scheme val="major"/>
    </font>
    <font>
      <b/>
      <sz val="10"/>
      <name val="Cambria"/>
      <family val="2"/>
      <scheme val="major"/>
    </font>
    <font>
      <sz val="12"/>
      <color theme="1"/>
      <name val="Times New Roman"/>
      <family val="1"/>
      <charset val="163"/>
    </font>
    <font>
      <b/>
      <u/>
      <sz val="12"/>
      <color rgb="FF0000FF"/>
      <name val="Times New Roman"/>
      <family val="1"/>
    </font>
    <font>
      <sz val="11"/>
      <color rgb="FFFF0000"/>
      <name val="Times New Roman"/>
      <family val="1"/>
    </font>
    <font>
      <sz val="10"/>
      <color rgb="FF0000FF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  <charset val="163"/>
    </font>
    <font>
      <sz val="9"/>
      <color theme="1"/>
      <name val="Times New Roman"/>
      <family val="1"/>
    </font>
    <font>
      <i/>
      <sz val="12"/>
      <name val="Times New Roman"/>
      <family val="1"/>
    </font>
    <font>
      <sz val="10"/>
      <name val="Cambria"/>
      <family val="1"/>
      <scheme val="major"/>
    </font>
    <font>
      <b/>
      <sz val="10"/>
      <name val="Cambria"/>
      <family val="1"/>
      <charset val="163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1">
    <xf numFmtId="0" fontId="0" fillId="0" borderId="0"/>
    <xf numFmtId="167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0" fontId="13" fillId="0" borderId="0"/>
    <xf numFmtId="0" fontId="12" fillId="0" borderId="0"/>
    <xf numFmtId="43" fontId="1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0" fontId="5" fillId="0" borderId="0"/>
    <xf numFmtId="0" fontId="16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7" fillId="0" borderId="0"/>
    <xf numFmtId="0" fontId="19" fillId="0" borderId="0">
      <alignment vertical="top"/>
    </xf>
    <xf numFmtId="0" fontId="19" fillId="0" borderId="0">
      <alignment vertical="top"/>
    </xf>
    <xf numFmtId="0" fontId="12" fillId="0" borderId="0"/>
    <xf numFmtId="0" fontId="19" fillId="0" borderId="0"/>
    <xf numFmtId="43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1" fillId="0" borderId="0">
      <alignment vertical="top"/>
    </xf>
    <xf numFmtId="164" fontId="12" fillId="0" borderId="0" applyFont="0" applyFill="0" applyBorder="0" applyAlignment="0" applyProtection="0"/>
  </cellStyleXfs>
  <cellXfs count="51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165" fontId="31" fillId="2" borderId="4" xfId="1" applyNumberFormat="1" applyFont="1" applyFill="1" applyBorder="1" applyAlignment="1">
      <alignment vertical="center"/>
    </xf>
    <xf numFmtId="165" fontId="34" fillId="2" borderId="4" xfId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8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6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165" fontId="2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11" fillId="2" borderId="0" xfId="0" applyFont="1" applyFill="1" applyAlignment="1">
      <alignment vertical="center" shrinkToFit="1"/>
    </xf>
    <xf numFmtId="165" fontId="11" fillId="2" borderId="6" xfId="7" applyNumberFormat="1" applyFont="1" applyFill="1" applyBorder="1" applyAlignment="1">
      <alignment horizontal="center" vertical="center" shrinkToFit="1"/>
    </xf>
    <xf numFmtId="3" fontId="11" fillId="2" borderId="6" xfId="2" applyNumberFormat="1" applyFont="1" applyFill="1" applyBorder="1" applyAlignment="1">
      <alignment horizontal="center" vertical="center" shrinkToFit="1"/>
    </xf>
    <xf numFmtId="165" fontId="11" fillId="2" borderId="5" xfId="7" applyNumberFormat="1" applyFont="1" applyFill="1" applyBorder="1" applyAlignment="1">
      <alignment horizontal="center" vertical="center" shrinkToFit="1"/>
    </xf>
    <xf numFmtId="3" fontId="11" fillId="2" borderId="5" xfId="2" applyNumberFormat="1" applyFont="1" applyFill="1" applyBorder="1" applyAlignment="1">
      <alignment horizontal="center" vertical="center" shrinkToFit="1"/>
    </xf>
    <xf numFmtId="166" fontId="35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5" fillId="2" borderId="0" xfId="0" applyFont="1" applyFill="1" applyAlignment="1">
      <alignment horizontal="right" vertical="center"/>
    </xf>
    <xf numFmtId="0" fontId="35" fillId="2" borderId="0" xfId="0" applyFont="1" applyFill="1" applyAlignment="1">
      <alignment horizontal="center" vertical="center"/>
    </xf>
    <xf numFmtId="166" fontId="36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6" fillId="2" borderId="0" xfId="0" applyFont="1" applyFill="1" applyAlignment="1">
      <alignment horizontal="right" vertical="center"/>
    </xf>
    <xf numFmtId="0" fontId="3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168" fontId="25" fillId="2" borderId="0" xfId="1" applyNumberFormat="1" applyFont="1" applyFill="1" applyAlignment="1">
      <alignment vertical="center"/>
    </xf>
    <xf numFmtId="165" fontId="25" fillId="2" borderId="0" xfId="0" applyNumberFormat="1" applyFont="1" applyFill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5" fillId="2" borderId="0" xfId="0" applyFont="1" applyFill="1"/>
    <xf numFmtId="0" fontId="33" fillId="2" borderId="0" xfId="0" applyFont="1" applyFill="1"/>
    <xf numFmtId="0" fontId="25" fillId="2" borderId="0" xfId="0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6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8" fillId="2" borderId="0" xfId="0" applyFont="1" applyFill="1" applyAlignment="1">
      <alignment horizontal="center" vertical="center"/>
    </xf>
    <xf numFmtId="165" fontId="10" fillId="2" borderId="0" xfId="1" applyNumberFormat="1" applyFont="1" applyFill="1" applyBorder="1" applyAlignment="1">
      <alignment vertical="center"/>
    </xf>
    <xf numFmtId="167" fontId="10" fillId="2" borderId="0" xfId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40" fillId="2" borderId="16" xfId="0" applyFont="1" applyFill="1" applyBorder="1" applyAlignment="1">
      <alignment horizontal="center" vertical="center"/>
    </xf>
    <xf numFmtId="0" fontId="40" fillId="2" borderId="17" xfId="0" applyFont="1" applyFill="1" applyBorder="1" applyAlignment="1">
      <alignment horizontal="center" vertical="center"/>
    </xf>
    <xf numFmtId="0" fontId="40" fillId="2" borderId="17" xfId="0" applyFont="1" applyFill="1" applyBorder="1" applyAlignment="1">
      <alignment vertical="center"/>
    </xf>
    <xf numFmtId="0" fontId="40" fillId="2" borderId="18" xfId="0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165" fontId="40" fillId="2" borderId="0" xfId="0" applyNumberFormat="1" applyFont="1" applyFill="1" applyAlignment="1">
      <alignment vertical="center"/>
    </xf>
    <xf numFmtId="166" fontId="40" fillId="2" borderId="0" xfId="0" applyNumberFormat="1" applyFont="1" applyFill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40" fillId="2" borderId="0" xfId="0" applyFont="1" applyFill="1" applyAlignment="1">
      <alignment horizontal="right" vertical="center"/>
    </xf>
    <xf numFmtId="165" fontId="40" fillId="2" borderId="0" xfId="1" applyNumberFormat="1" applyFont="1" applyFill="1" applyAlignment="1">
      <alignment vertical="center"/>
    </xf>
    <xf numFmtId="165" fontId="40" fillId="2" borderId="0" xfId="1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169" fontId="30" fillId="2" borderId="6" xfId="1" applyNumberFormat="1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left" vertic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vertical="center"/>
    </xf>
    <xf numFmtId="165" fontId="2" fillId="2" borderId="5" xfId="6" applyNumberFormat="1" applyFont="1" applyFill="1" applyBorder="1" applyAlignment="1">
      <alignment vertical="center" shrinkToFit="1"/>
    </xf>
    <xf numFmtId="169" fontId="2" fillId="2" borderId="6" xfId="1" applyNumberFormat="1" applyFont="1" applyFill="1" applyBorder="1" applyAlignment="1">
      <alignment vertical="center" wrapText="1"/>
    </xf>
    <xf numFmtId="169" fontId="2" fillId="2" borderId="6" xfId="1" applyNumberFormat="1" applyFont="1" applyFill="1" applyBorder="1" applyAlignment="1">
      <alignment horizontal="center" vertical="center"/>
    </xf>
    <xf numFmtId="169" fontId="2" fillId="2" borderId="6" xfId="1" quotePrefix="1" applyNumberFormat="1" applyFont="1" applyFill="1" applyBorder="1" applyAlignment="1">
      <alignment horizontal="center" vertical="center"/>
    </xf>
    <xf numFmtId="0" fontId="40" fillId="2" borderId="0" xfId="0" applyFont="1" applyFill="1"/>
    <xf numFmtId="0" fontId="11" fillId="2" borderId="0" xfId="0" applyFont="1" applyFill="1"/>
    <xf numFmtId="165" fontId="2" fillId="2" borderId="5" xfId="1" applyNumberFormat="1" applyFont="1" applyFill="1" applyBorder="1" applyAlignment="1">
      <alignment vertical="center" shrinkToFit="1"/>
    </xf>
    <xf numFmtId="165" fontId="10" fillId="2" borderId="5" xfId="1" applyNumberFormat="1" applyFont="1" applyFill="1" applyBorder="1" applyAlignment="1">
      <alignment vertical="center" shrinkToFit="1"/>
    </xf>
    <xf numFmtId="0" fontId="6" fillId="2" borderId="5" xfId="0" applyFont="1" applyFill="1" applyBorder="1" applyAlignment="1">
      <alignment horizontal="center" vertical="center" wrapText="1"/>
    </xf>
    <xf numFmtId="169" fontId="30" fillId="2" borderId="2" xfId="1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left" vertical="center"/>
    </xf>
    <xf numFmtId="0" fontId="30" fillId="2" borderId="21" xfId="0" applyFont="1" applyFill="1" applyBorder="1" applyAlignment="1">
      <alignment horizontal="center" vertical="center"/>
    </xf>
    <xf numFmtId="165" fontId="2" fillId="2" borderId="21" xfId="6" applyNumberFormat="1" applyFont="1" applyFill="1" applyBorder="1" applyAlignment="1">
      <alignment vertical="center" shrinkToFit="1"/>
    </xf>
    <xf numFmtId="165" fontId="2" fillId="2" borderId="21" xfId="1" applyNumberFormat="1" applyFont="1" applyFill="1" applyBorder="1" applyAlignment="1">
      <alignment vertical="center" shrinkToFit="1"/>
    </xf>
    <xf numFmtId="165" fontId="10" fillId="2" borderId="21" xfId="1" applyNumberFormat="1" applyFont="1" applyFill="1" applyBorder="1" applyAlignment="1">
      <alignment vertical="center" shrinkToFit="1"/>
    </xf>
    <xf numFmtId="0" fontId="31" fillId="2" borderId="1" xfId="0" applyFont="1" applyFill="1" applyBorder="1" applyAlignment="1">
      <alignment horizontal="center" vertical="center"/>
    </xf>
    <xf numFmtId="9" fontId="2" fillId="2" borderId="0" xfId="1" applyNumberFormat="1" applyFont="1" applyFill="1" applyAlignment="1">
      <alignment horizontal="center" vertical="center"/>
    </xf>
    <xf numFmtId="169" fontId="30" fillId="2" borderId="2" xfId="1" applyNumberFormat="1" applyFont="1" applyFill="1" applyBorder="1" applyAlignment="1">
      <alignment vertical="center" wrapText="1"/>
    </xf>
    <xf numFmtId="169" fontId="45" fillId="2" borderId="1" xfId="1" applyNumberFormat="1" applyFont="1" applyFill="1" applyBorder="1" applyAlignment="1">
      <alignment vertical="center" shrinkToFit="1"/>
    </xf>
    <xf numFmtId="0" fontId="46" fillId="2" borderId="0" xfId="0" applyFont="1" applyFill="1" applyAlignment="1">
      <alignment vertical="center"/>
    </xf>
    <xf numFmtId="169" fontId="30" fillId="2" borderId="2" xfId="1" applyNumberFormat="1" applyFont="1" applyFill="1" applyBorder="1" applyAlignment="1">
      <alignment vertical="center" shrinkToFit="1"/>
    </xf>
    <xf numFmtId="169" fontId="30" fillId="2" borderId="1" xfId="1" applyNumberFormat="1" applyFont="1" applyFill="1" applyBorder="1" applyAlignment="1">
      <alignment horizontal="center" vertical="center" shrinkToFit="1"/>
    </xf>
    <xf numFmtId="169" fontId="30" fillId="2" borderId="2" xfId="1" quotePrefix="1" applyNumberFormat="1" applyFont="1" applyFill="1" applyBorder="1" applyAlignment="1">
      <alignment horizontal="center" vertical="center" shrinkToFit="1"/>
    </xf>
    <xf numFmtId="169" fontId="30" fillId="2" borderId="2" xfId="1" applyNumberFormat="1" applyFont="1" applyFill="1" applyBorder="1" applyAlignment="1">
      <alignment horizontal="center" vertical="center" shrinkToFit="1"/>
    </xf>
    <xf numFmtId="166" fontId="30" fillId="2" borderId="2" xfId="1" applyNumberFormat="1" applyFont="1" applyFill="1" applyBorder="1" applyAlignment="1">
      <alignment vertical="center" shrinkToFit="1"/>
    </xf>
    <xf numFmtId="169" fontId="30" fillId="2" borderId="1" xfId="1" quotePrefix="1" applyNumberFormat="1" applyFont="1" applyFill="1" applyBorder="1" applyAlignment="1">
      <alignment vertical="center" shrinkToFit="1"/>
    </xf>
    <xf numFmtId="169" fontId="30" fillId="2" borderId="6" xfId="1" applyNumberFormat="1" applyFont="1" applyFill="1" applyBorder="1" applyAlignment="1">
      <alignment vertical="center" shrinkToFit="1"/>
    </xf>
    <xf numFmtId="0" fontId="46" fillId="2" borderId="6" xfId="0" applyFont="1" applyFill="1" applyBorder="1" applyAlignment="1">
      <alignment vertical="center" shrinkToFit="1"/>
    </xf>
    <xf numFmtId="164" fontId="46" fillId="2" borderId="6" xfId="40" applyFont="1" applyFill="1" applyBorder="1" applyAlignment="1">
      <alignment vertical="center" shrinkToFit="1"/>
    </xf>
    <xf numFmtId="3" fontId="11" fillId="2" borderId="6" xfId="1" applyNumberFormat="1" applyFont="1" applyFill="1" applyBorder="1" applyAlignment="1">
      <alignment vertical="center" shrinkToFit="1"/>
    </xf>
    <xf numFmtId="169" fontId="11" fillId="2" borderId="6" xfId="1" applyNumberFormat="1" applyFont="1" applyFill="1" applyBorder="1" applyAlignment="1">
      <alignment vertical="center" shrinkToFit="1"/>
    </xf>
    <xf numFmtId="165" fontId="11" fillId="2" borderId="6" xfId="3" applyNumberFormat="1" applyFont="1" applyFill="1" applyBorder="1" applyAlignment="1">
      <alignment horizontal="center" vertical="center" shrinkToFit="1"/>
    </xf>
    <xf numFmtId="165" fontId="11" fillId="2" borderId="6" xfId="3" applyNumberFormat="1" applyFont="1" applyFill="1" applyBorder="1" applyAlignment="1">
      <alignment vertical="center" shrinkToFit="1"/>
    </xf>
    <xf numFmtId="170" fontId="11" fillId="2" borderId="6" xfId="1" applyNumberFormat="1" applyFont="1" applyFill="1" applyBorder="1" applyAlignment="1">
      <alignment vertical="center" shrinkToFit="1"/>
    </xf>
    <xf numFmtId="166" fontId="11" fillId="2" borderId="6" xfId="1" applyNumberFormat="1" applyFont="1" applyFill="1" applyBorder="1" applyAlignment="1">
      <alignment vertical="center" shrinkToFit="1"/>
    </xf>
    <xf numFmtId="3" fontId="11" fillId="2" borderId="6" xfId="0" applyNumberFormat="1" applyFont="1" applyFill="1" applyBorder="1" applyAlignment="1">
      <alignment horizontal="center" vertical="center" shrinkToFit="1"/>
    </xf>
    <xf numFmtId="165" fontId="11" fillId="2" borderId="6" xfId="1" applyNumberFormat="1" applyFont="1" applyFill="1" applyBorder="1" applyAlignment="1">
      <alignment vertical="center" shrinkToFit="1"/>
    </xf>
    <xf numFmtId="165" fontId="11" fillId="2" borderId="5" xfId="1" applyNumberFormat="1" applyFont="1" applyFill="1" applyBorder="1" applyAlignment="1" applyProtection="1">
      <alignment vertical="center" shrinkToFit="1"/>
    </xf>
    <xf numFmtId="165" fontId="11" fillId="2" borderId="6" xfId="1" applyNumberFormat="1" applyFont="1" applyFill="1" applyBorder="1" applyAlignment="1" applyProtection="1">
      <alignment vertical="center" shrinkToFit="1"/>
    </xf>
    <xf numFmtId="169" fontId="11" fillId="2" borderId="6" xfId="1" applyNumberFormat="1" applyFont="1" applyFill="1" applyBorder="1" applyAlignment="1">
      <alignment horizontal="right" vertical="center" shrinkToFit="1"/>
    </xf>
    <xf numFmtId="165" fontId="31" fillId="2" borderId="6" xfId="0" applyNumberFormat="1" applyFont="1" applyFill="1" applyBorder="1" applyAlignment="1">
      <alignment horizontal="center" vertical="center" shrinkToFit="1"/>
    </xf>
    <xf numFmtId="3" fontId="11" fillId="2" borderId="5" xfId="1" applyNumberFormat="1" applyFont="1" applyFill="1" applyBorder="1" applyAlignment="1">
      <alignment vertical="center" shrinkToFit="1"/>
    </xf>
    <xf numFmtId="165" fontId="11" fillId="2" borderId="5" xfId="3" applyNumberFormat="1" applyFont="1" applyFill="1" applyBorder="1" applyAlignment="1">
      <alignment horizontal="center" vertical="center" shrinkToFit="1"/>
    </xf>
    <xf numFmtId="165" fontId="11" fillId="2" borderId="5" xfId="3" applyNumberFormat="1" applyFont="1" applyFill="1" applyBorder="1" applyAlignment="1">
      <alignment vertical="center" shrinkToFit="1"/>
    </xf>
    <xf numFmtId="166" fontId="11" fillId="2" borderId="5" xfId="3" applyNumberFormat="1" applyFont="1" applyFill="1" applyBorder="1" applyAlignment="1">
      <alignment vertical="center" shrinkToFit="1"/>
    </xf>
    <xf numFmtId="170" fontId="11" fillId="2" borderId="5" xfId="1" applyNumberFormat="1" applyFont="1" applyFill="1" applyBorder="1" applyAlignment="1">
      <alignment vertical="center" shrinkToFit="1"/>
    </xf>
    <xf numFmtId="166" fontId="11" fillId="2" borderId="5" xfId="1" applyNumberFormat="1" applyFont="1" applyFill="1" applyBorder="1" applyAlignment="1">
      <alignment vertical="center" shrinkToFit="1"/>
    </xf>
    <xf numFmtId="3" fontId="11" fillId="2" borderId="5" xfId="0" applyNumberFormat="1" applyFont="1" applyFill="1" applyBorder="1" applyAlignment="1">
      <alignment horizontal="center" vertical="center" shrinkToFit="1"/>
    </xf>
    <xf numFmtId="165" fontId="11" fillId="2" borderId="5" xfId="1" applyNumberFormat="1" applyFont="1" applyFill="1" applyBorder="1" applyAlignment="1">
      <alignment vertical="center" shrinkToFit="1"/>
    </xf>
    <xf numFmtId="169" fontId="11" fillId="2" borderId="5" xfId="1" applyNumberFormat="1" applyFont="1" applyFill="1" applyBorder="1" applyAlignment="1">
      <alignment vertical="center" shrinkToFit="1"/>
    </xf>
    <xf numFmtId="169" fontId="11" fillId="2" borderId="5" xfId="6" applyNumberFormat="1" applyFont="1" applyFill="1" applyBorder="1" applyAlignment="1">
      <alignment vertical="center" shrinkToFit="1"/>
    </xf>
    <xf numFmtId="165" fontId="31" fillId="2" borderId="5" xfId="0" applyNumberFormat="1" applyFont="1" applyFill="1" applyBorder="1" applyAlignment="1">
      <alignment horizontal="center" vertical="center" shrinkToFit="1"/>
    </xf>
    <xf numFmtId="43" fontId="11" fillId="2" borderId="5" xfId="1" applyNumberFormat="1" applyFont="1" applyFill="1" applyBorder="1" applyAlignment="1">
      <alignment vertical="center" shrinkToFit="1"/>
    </xf>
    <xf numFmtId="3" fontId="11" fillId="2" borderId="5" xfId="39" applyNumberFormat="1" applyFont="1" applyFill="1" applyBorder="1" applyAlignment="1">
      <alignment horizontal="right" vertical="center" shrinkToFit="1"/>
    </xf>
    <xf numFmtId="165" fontId="11" fillId="2" borderId="5" xfId="1" applyNumberFormat="1" applyFont="1" applyFill="1" applyBorder="1" applyAlignment="1" applyProtection="1">
      <alignment horizontal="right" vertical="center" shrinkToFit="1"/>
    </xf>
    <xf numFmtId="165" fontId="30" fillId="2" borderId="5" xfId="1" applyNumberFormat="1" applyFont="1" applyFill="1" applyBorder="1" applyAlignment="1">
      <alignment vertical="center" shrinkToFit="1"/>
    </xf>
    <xf numFmtId="165" fontId="31" fillId="2" borderId="5" xfId="0" applyNumberFormat="1" applyFont="1" applyFill="1" applyBorder="1" applyAlignment="1">
      <alignment vertical="center" shrinkToFit="1"/>
    </xf>
    <xf numFmtId="3" fontId="11" fillId="2" borderId="21" xfId="1" applyNumberFormat="1" applyFont="1" applyFill="1" applyBorder="1" applyAlignment="1">
      <alignment vertical="center" shrinkToFit="1"/>
    </xf>
    <xf numFmtId="3" fontId="11" fillId="2" borderId="21" xfId="2" applyNumberFormat="1" applyFont="1" applyFill="1" applyBorder="1" applyAlignment="1">
      <alignment horizontal="center" vertical="center" shrinkToFit="1"/>
    </xf>
    <xf numFmtId="165" fontId="11" fillId="2" borderId="21" xfId="7" applyNumberFormat="1" applyFont="1" applyFill="1" applyBorder="1" applyAlignment="1">
      <alignment horizontal="center" vertical="center" shrinkToFit="1"/>
    </xf>
    <xf numFmtId="165" fontId="11" fillId="2" borderId="21" xfId="3" applyNumberFormat="1" applyFont="1" applyFill="1" applyBorder="1" applyAlignment="1">
      <alignment horizontal="center" vertical="center" shrinkToFit="1"/>
    </xf>
    <xf numFmtId="165" fontId="11" fillId="2" borderId="21" xfId="3" applyNumberFormat="1" applyFont="1" applyFill="1" applyBorder="1" applyAlignment="1">
      <alignment vertical="center" shrinkToFit="1"/>
    </xf>
    <xf numFmtId="43" fontId="11" fillId="2" borderId="21" xfId="1" applyNumberFormat="1" applyFont="1" applyFill="1" applyBorder="1" applyAlignment="1">
      <alignment vertical="center" shrinkToFit="1"/>
    </xf>
    <xf numFmtId="170" fontId="11" fillId="2" borderId="21" xfId="1" applyNumberFormat="1" applyFont="1" applyFill="1" applyBorder="1" applyAlignment="1">
      <alignment vertical="center" shrinkToFit="1"/>
    </xf>
    <xf numFmtId="166" fontId="11" fillId="2" borderId="21" xfId="3" applyNumberFormat="1" applyFont="1" applyFill="1" applyBorder="1" applyAlignment="1">
      <alignment vertical="center" shrinkToFit="1"/>
    </xf>
    <xf numFmtId="3" fontId="11" fillId="2" borderId="21" xfId="0" applyNumberFormat="1" applyFont="1" applyFill="1" applyBorder="1" applyAlignment="1">
      <alignment horizontal="center" vertical="center" shrinkToFit="1"/>
    </xf>
    <xf numFmtId="165" fontId="11" fillId="2" borderId="21" xfId="1" applyNumberFormat="1" applyFont="1" applyFill="1" applyBorder="1" applyAlignment="1">
      <alignment vertical="center" shrinkToFit="1"/>
    </xf>
    <xf numFmtId="165" fontId="30" fillId="2" borderId="21" xfId="1" applyNumberFormat="1" applyFont="1" applyFill="1" applyBorder="1" applyAlignment="1">
      <alignment vertical="center" shrinkToFit="1"/>
    </xf>
    <xf numFmtId="169" fontId="11" fillId="2" borderId="21" xfId="1" applyNumberFormat="1" applyFont="1" applyFill="1" applyBorder="1" applyAlignment="1">
      <alignment vertical="center" shrinkToFit="1"/>
    </xf>
    <xf numFmtId="165" fontId="11" fillId="2" borderId="21" xfId="1" applyNumberFormat="1" applyFont="1" applyFill="1" applyBorder="1" applyAlignment="1" applyProtection="1">
      <alignment vertical="center" shrinkToFit="1"/>
    </xf>
    <xf numFmtId="169" fontId="11" fillId="2" borderId="21" xfId="6" applyNumberFormat="1" applyFont="1" applyFill="1" applyBorder="1" applyAlignment="1">
      <alignment vertical="center" shrinkToFit="1"/>
    </xf>
    <xf numFmtId="165" fontId="11" fillId="2" borderId="21" xfId="1" applyNumberFormat="1" applyFont="1" applyFill="1" applyBorder="1" applyAlignment="1" applyProtection="1">
      <alignment horizontal="right" vertical="center" shrinkToFit="1"/>
    </xf>
    <xf numFmtId="165" fontId="31" fillId="2" borderId="21" xfId="0" applyNumberFormat="1" applyFont="1" applyFill="1" applyBorder="1" applyAlignment="1">
      <alignment horizontal="center" vertical="center" shrinkToFit="1"/>
    </xf>
    <xf numFmtId="165" fontId="31" fillId="2" borderId="1" xfId="1" applyNumberFormat="1" applyFont="1" applyFill="1" applyBorder="1" applyAlignment="1">
      <alignment vertical="center" shrinkToFit="1"/>
    </xf>
    <xf numFmtId="166" fontId="31" fillId="2" borderId="1" xfId="1" applyNumberFormat="1" applyFont="1" applyFill="1" applyBorder="1" applyAlignment="1">
      <alignment vertical="center" shrinkToFit="1"/>
    </xf>
    <xf numFmtId="165" fontId="10" fillId="2" borderId="0" xfId="1" applyNumberFormat="1" applyFont="1" applyFill="1" applyBorder="1" applyAlignment="1">
      <alignment vertical="center" shrinkToFit="1"/>
    </xf>
    <xf numFmtId="167" fontId="10" fillId="2" borderId="0" xfId="1" applyFont="1" applyFill="1" applyBorder="1" applyAlignment="1">
      <alignment vertical="center" shrinkToFit="1"/>
    </xf>
    <xf numFmtId="165" fontId="11" fillId="2" borderId="0" xfId="0" applyNumberFormat="1" applyFont="1" applyFill="1" applyAlignment="1">
      <alignment vertical="center" shrinkToFit="1"/>
    </xf>
    <xf numFmtId="0" fontId="40" fillId="2" borderId="0" xfId="0" applyFont="1" applyFill="1" applyAlignment="1">
      <alignment vertical="center" shrinkToFit="1"/>
    </xf>
    <xf numFmtId="165" fontId="40" fillId="2" borderId="0" xfId="0" applyNumberFormat="1" applyFont="1" applyFill="1" applyAlignment="1">
      <alignment vertical="center" shrinkToFit="1"/>
    </xf>
    <xf numFmtId="0" fontId="40" fillId="2" borderId="0" xfId="0" applyFont="1" applyFill="1" applyAlignment="1">
      <alignment horizontal="center" vertical="center" shrinkToFit="1"/>
    </xf>
    <xf numFmtId="166" fontId="40" fillId="2" borderId="0" xfId="0" applyNumberFormat="1" applyFont="1" applyFill="1" applyAlignment="1">
      <alignment horizontal="center" vertical="center" shrinkToFit="1"/>
    </xf>
    <xf numFmtId="0" fontId="40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vertical="center" shrinkToFit="1"/>
    </xf>
    <xf numFmtId="165" fontId="3" fillId="2" borderId="0" xfId="0" applyNumberFormat="1" applyFont="1" applyFill="1" applyAlignment="1">
      <alignment vertical="center" shrinkToFit="1"/>
    </xf>
    <xf numFmtId="0" fontId="48" fillId="2" borderId="0" xfId="0" applyFont="1" applyFill="1" applyAlignment="1">
      <alignment vertical="center"/>
    </xf>
    <xf numFmtId="0" fontId="47" fillId="2" borderId="1" xfId="0" applyFont="1" applyFill="1" applyBorder="1" applyAlignment="1">
      <alignment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 wrapText="1"/>
    </xf>
    <xf numFmtId="166" fontId="49" fillId="2" borderId="1" xfId="0" applyNumberFormat="1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165" fontId="31" fillId="2" borderId="4" xfId="1" applyNumberFormat="1" applyFont="1" applyFill="1" applyBorder="1" applyAlignment="1">
      <alignment vertical="center" shrinkToFit="1"/>
    </xf>
    <xf numFmtId="169" fontId="2" fillId="2" borderId="6" xfId="1" quotePrefix="1" applyNumberFormat="1" applyFont="1" applyFill="1" applyBorder="1" applyAlignment="1">
      <alignment vertical="center" wrapText="1"/>
    </xf>
    <xf numFmtId="0" fontId="55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169" fontId="3" fillId="2" borderId="5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vertical="center"/>
    </xf>
    <xf numFmtId="169" fontId="3" fillId="2" borderId="5" xfId="1" applyNumberFormat="1" applyFont="1" applyFill="1" applyBorder="1" applyAlignment="1">
      <alignment vertical="center"/>
    </xf>
    <xf numFmtId="165" fontId="3" fillId="2" borderId="5" xfId="7" applyNumberFormat="1" applyFont="1" applyFill="1" applyBorder="1" applyAlignment="1">
      <alignment horizontal="center" vertical="center"/>
    </xf>
    <xf numFmtId="3" fontId="3" fillId="2" borderId="5" xfId="2" applyNumberFormat="1" applyFont="1" applyFill="1" applyBorder="1" applyAlignment="1">
      <alignment horizontal="center" vertical="center"/>
    </xf>
    <xf numFmtId="165" fontId="3" fillId="2" borderId="5" xfId="3" applyNumberFormat="1" applyFont="1" applyFill="1" applyBorder="1" applyAlignment="1">
      <alignment horizontal="center" vertical="center"/>
    </xf>
    <xf numFmtId="165" fontId="3" fillId="2" borderId="5" xfId="3" applyNumberFormat="1" applyFont="1" applyFill="1" applyBorder="1" applyAlignment="1">
      <alignment vertical="center"/>
    </xf>
    <xf numFmtId="170" fontId="3" fillId="2" borderId="5" xfId="1" applyNumberFormat="1" applyFont="1" applyFill="1" applyBorder="1" applyAlignment="1">
      <alignment vertical="center"/>
    </xf>
    <xf numFmtId="166" fontId="3" fillId="2" borderId="5" xfId="1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vertical="center"/>
    </xf>
    <xf numFmtId="169" fontId="29" fillId="2" borderId="5" xfId="1" applyNumberFormat="1" applyFont="1" applyFill="1" applyBorder="1" applyAlignment="1">
      <alignment vertical="center"/>
    </xf>
    <xf numFmtId="165" fontId="3" fillId="2" borderId="5" xfId="1" applyNumberFormat="1" applyFont="1" applyFill="1" applyBorder="1" applyAlignment="1" applyProtection="1">
      <alignment vertical="center"/>
    </xf>
    <xf numFmtId="169" fontId="3" fillId="2" borderId="5" xfId="1" applyNumberFormat="1" applyFont="1" applyFill="1" applyBorder="1" applyAlignment="1">
      <alignment horizontal="right" vertical="center"/>
    </xf>
    <xf numFmtId="169" fontId="3" fillId="2" borderId="5" xfId="1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vertical="center"/>
    </xf>
    <xf numFmtId="165" fontId="3" fillId="2" borderId="5" xfId="6" applyNumberFormat="1" applyFont="1" applyFill="1" applyBorder="1" applyAlignment="1">
      <alignment vertical="center" shrinkToFit="1"/>
    </xf>
    <xf numFmtId="165" fontId="3" fillId="2" borderId="5" xfId="1" applyNumberFormat="1" applyFont="1" applyFill="1" applyBorder="1" applyAlignment="1">
      <alignment vertical="center" shrinkToFit="1"/>
    </xf>
    <xf numFmtId="165" fontId="1" fillId="2" borderId="5" xfId="1" applyNumberFormat="1" applyFont="1" applyFill="1" applyBorder="1" applyAlignment="1">
      <alignment vertical="center" shrinkToFit="1"/>
    </xf>
    <xf numFmtId="0" fontId="44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6" fontId="3" fillId="2" borderId="5" xfId="3" applyNumberFormat="1" applyFont="1" applyFill="1" applyBorder="1" applyAlignment="1">
      <alignment vertical="center"/>
    </xf>
    <xf numFmtId="169" fontId="3" fillId="2" borderId="5" xfId="6" applyNumberFormat="1" applyFont="1" applyFill="1" applyBorder="1" applyAlignment="1">
      <alignment vertical="center"/>
    </xf>
    <xf numFmtId="0" fontId="44" fillId="2" borderId="17" xfId="0" applyFont="1" applyFill="1" applyBorder="1" applyAlignment="1">
      <alignment horizontal="center" vertical="center"/>
    </xf>
    <xf numFmtId="43" fontId="3" fillId="2" borderId="5" xfId="1" applyNumberFormat="1" applyFont="1" applyFill="1" applyBorder="1" applyAlignment="1">
      <alignment vertical="center"/>
    </xf>
    <xf numFmtId="3" fontId="3" fillId="2" borderId="5" xfId="39" applyNumberFormat="1" applyFont="1" applyFill="1" applyBorder="1" applyAlignment="1">
      <alignment horizontal="right" vertical="center"/>
    </xf>
    <xf numFmtId="0" fontId="44" fillId="2" borderId="17" xfId="0" applyFont="1" applyFill="1" applyBorder="1" applyAlignment="1">
      <alignment vertical="center"/>
    </xf>
    <xf numFmtId="165" fontId="3" fillId="2" borderId="5" xfId="1" applyNumberFormat="1" applyFont="1" applyFill="1" applyBorder="1" applyAlignment="1" applyProtection="1">
      <alignment horizontal="right" vertical="center"/>
    </xf>
    <xf numFmtId="165" fontId="3" fillId="2" borderId="5" xfId="1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vertical="center"/>
    </xf>
    <xf numFmtId="0" fontId="44" fillId="2" borderId="18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3" fontId="3" fillId="2" borderId="7" xfId="1" applyNumberFormat="1" applyFont="1" applyFill="1" applyBorder="1" applyAlignment="1">
      <alignment vertical="center"/>
    </xf>
    <xf numFmtId="3" fontId="3" fillId="2" borderId="7" xfId="2" applyNumberFormat="1" applyFont="1" applyFill="1" applyBorder="1" applyAlignment="1">
      <alignment horizontal="center" vertical="center"/>
    </xf>
    <xf numFmtId="165" fontId="3" fillId="2" borderId="7" xfId="7" applyNumberFormat="1" applyFont="1" applyFill="1" applyBorder="1" applyAlignment="1">
      <alignment horizontal="center" vertical="center"/>
    </xf>
    <xf numFmtId="165" fontId="3" fillId="2" borderId="7" xfId="3" applyNumberFormat="1" applyFont="1" applyFill="1" applyBorder="1" applyAlignment="1">
      <alignment horizontal="center" vertical="center"/>
    </xf>
    <xf numFmtId="165" fontId="3" fillId="2" borderId="7" xfId="3" applyNumberFormat="1" applyFont="1" applyFill="1" applyBorder="1" applyAlignment="1">
      <alignment vertical="center"/>
    </xf>
    <xf numFmtId="43" fontId="3" fillId="2" borderId="7" xfId="1" applyNumberFormat="1" applyFont="1" applyFill="1" applyBorder="1" applyAlignment="1">
      <alignment vertical="center"/>
    </xf>
    <xf numFmtId="170" fontId="3" fillId="2" borderId="7" xfId="1" applyNumberFormat="1" applyFont="1" applyFill="1" applyBorder="1" applyAlignment="1">
      <alignment vertical="center"/>
    </xf>
    <xf numFmtId="166" fontId="3" fillId="2" borderId="7" xfId="3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vertical="center"/>
    </xf>
    <xf numFmtId="169" fontId="29" fillId="2" borderId="7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 applyProtection="1">
      <alignment vertical="center"/>
    </xf>
    <xf numFmtId="169" fontId="3" fillId="2" borderId="7" xfId="6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 applyProtection="1">
      <alignment horizontal="right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vertical="center"/>
    </xf>
    <xf numFmtId="165" fontId="3" fillId="2" borderId="7" xfId="6" applyNumberFormat="1" applyFont="1" applyFill="1" applyBorder="1" applyAlignment="1">
      <alignment vertical="center" shrinkToFit="1"/>
    </xf>
    <xf numFmtId="165" fontId="3" fillId="2" borderId="7" xfId="1" applyNumberFormat="1" applyFont="1" applyFill="1" applyBorder="1" applyAlignment="1">
      <alignment vertical="center" shrinkToFit="1"/>
    </xf>
    <xf numFmtId="165" fontId="1" fillId="2" borderId="7" xfId="1" applyNumberFormat="1" applyFont="1" applyFill="1" applyBorder="1" applyAlignment="1">
      <alignment vertical="center" shrinkToFit="1"/>
    </xf>
    <xf numFmtId="3" fontId="22" fillId="2" borderId="5" xfId="1" applyNumberFormat="1" applyFont="1" applyFill="1" applyBorder="1" applyAlignment="1">
      <alignment vertical="center"/>
    </xf>
    <xf numFmtId="165" fontId="22" fillId="2" borderId="5" xfId="3" applyNumberFormat="1" applyFont="1" applyFill="1" applyBorder="1" applyAlignment="1">
      <alignment vertical="center"/>
    </xf>
    <xf numFmtId="165" fontId="22" fillId="2" borderId="5" xfId="1" applyNumberFormat="1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5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center" vertical="center"/>
    </xf>
    <xf numFmtId="9" fontId="25" fillId="2" borderId="0" xfId="1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1" fillId="2" borderId="5" xfId="1" applyNumberFormat="1" applyFont="1" applyFill="1" applyBorder="1" applyAlignment="1">
      <alignment vertical="center"/>
    </xf>
    <xf numFmtId="3" fontId="11" fillId="2" borderId="5" xfId="2" applyNumberFormat="1" applyFont="1" applyFill="1" applyBorder="1" applyAlignment="1">
      <alignment horizontal="center" vertical="center"/>
    </xf>
    <xf numFmtId="165" fontId="11" fillId="2" borderId="5" xfId="7" applyNumberFormat="1" applyFont="1" applyFill="1" applyBorder="1" applyAlignment="1">
      <alignment horizontal="center" vertical="center"/>
    </xf>
    <xf numFmtId="165" fontId="11" fillId="2" borderId="5" xfId="3" applyNumberFormat="1" applyFont="1" applyFill="1" applyBorder="1" applyAlignment="1">
      <alignment horizontal="center" vertical="center"/>
    </xf>
    <xf numFmtId="165" fontId="11" fillId="2" borderId="5" xfId="3" applyNumberFormat="1" applyFont="1" applyFill="1" applyBorder="1" applyAlignment="1">
      <alignment vertical="center"/>
    </xf>
    <xf numFmtId="166" fontId="11" fillId="2" borderId="5" xfId="3" applyNumberFormat="1" applyFont="1" applyFill="1" applyBorder="1" applyAlignment="1">
      <alignment vertical="center"/>
    </xf>
    <xf numFmtId="170" fontId="11" fillId="2" borderId="5" xfId="1" applyNumberFormat="1" applyFont="1" applyFill="1" applyBorder="1" applyAlignment="1">
      <alignment vertical="center"/>
    </xf>
    <xf numFmtId="166" fontId="11" fillId="2" borderId="5" xfId="1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>
      <alignment horizontal="center" vertical="center"/>
    </xf>
    <xf numFmtId="165" fontId="11" fillId="2" borderId="5" xfId="1" applyNumberFormat="1" applyFont="1" applyFill="1" applyBorder="1" applyAlignment="1">
      <alignment vertical="center"/>
    </xf>
    <xf numFmtId="169" fontId="59" fillId="2" borderId="5" xfId="1" applyNumberFormat="1" applyFont="1" applyFill="1" applyBorder="1" applyAlignment="1">
      <alignment vertical="center"/>
    </xf>
    <xf numFmtId="165" fontId="11" fillId="2" borderId="5" xfId="1" applyNumberFormat="1" applyFont="1" applyFill="1" applyBorder="1" applyAlignment="1" applyProtection="1">
      <alignment vertical="center"/>
    </xf>
    <xf numFmtId="169" fontId="11" fillId="2" borderId="5" xfId="6" applyNumberFormat="1" applyFont="1" applyFill="1" applyBorder="1" applyAlignment="1">
      <alignment vertical="center"/>
    </xf>
    <xf numFmtId="169" fontId="11" fillId="2" borderId="5" xfId="1" applyNumberFormat="1" applyFont="1" applyFill="1" applyBorder="1" applyAlignment="1">
      <alignment vertical="center"/>
    </xf>
    <xf numFmtId="169" fontId="11" fillId="2" borderId="5" xfId="1" applyNumberFormat="1" applyFont="1" applyFill="1" applyBorder="1" applyAlignment="1">
      <alignment horizontal="center" vertical="center"/>
    </xf>
    <xf numFmtId="165" fontId="31" fillId="2" borderId="5" xfId="0" applyNumberFormat="1" applyFont="1" applyFill="1" applyBorder="1" applyAlignment="1">
      <alignment horizontal="center" vertical="center"/>
    </xf>
    <xf numFmtId="43" fontId="11" fillId="2" borderId="5" xfId="1" applyNumberFormat="1" applyFont="1" applyFill="1" applyBorder="1" applyAlignment="1">
      <alignment vertical="center"/>
    </xf>
    <xf numFmtId="3" fontId="11" fillId="2" borderId="5" xfId="39" applyNumberFormat="1" applyFont="1" applyFill="1" applyBorder="1" applyAlignment="1">
      <alignment horizontal="right" vertical="center"/>
    </xf>
    <xf numFmtId="3" fontId="60" fillId="2" borderId="5" xfId="1" applyNumberFormat="1" applyFont="1" applyFill="1" applyBorder="1" applyAlignment="1">
      <alignment vertical="center"/>
    </xf>
    <xf numFmtId="165" fontId="61" fillId="2" borderId="5" xfId="3" applyNumberFormat="1" applyFont="1" applyFill="1" applyBorder="1" applyAlignment="1">
      <alignment horizontal="center" vertical="center"/>
    </xf>
    <xf numFmtId="165" fontId="11" fillId="2" borderId="5" xfId="1" applyNumberFormat="1" applyFont="1" applyFill="1" applyBorder="1" applyAlignment="1" applyProtection="1">
      <alignment horizontal="right" vertical="center"/>
    </xf>
    <xf numFmtId="165" fontId="62" fillId="2" borderId="5" xfId="1" applyNumberFormat="1" applyFont="1" applyFill="1" applyBorder="1" applyAlignment="1">
      <alignment horizontal="center" vertical="center"/>
    </xf>
    <xf numFmtId="165" fontId="30" fillId="2" borderId="5" xfId="1" applyNumberFormat="1" applyFont="1" applyFill="1" applyBorder="1" applyAlignment="1">
      <alignment vertical="center"/>
    </xf>
    <xf numFmtId="165" fontId="62" fillId="2" borderId="5" xfId="0" applyNumberFormat="1" applyFont="1" applyFill="1" applyBorder="1" applyAlignment="1">
      <alignment horizontal="center" vertical="center"/>
    </xf>
    <xf numFmtId="0" fontId="63" fillId="2" borderId="5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63" fillId="2" borderId="7" xfId="0" applyFont="1" applyFill="1" applyBorder="1" applyAlignment="1">
      <alignment vertical="center"/>
    </xf>
    <xf numFmtId="0" fontId="30" fillId="2" borderId="7" xfId="0" applyFont="1" applyFill="1" applyBorder="1" applyAlignment="1">
      <alignment horizontal="center" vertical="center"/>
    </xf>
    <xf numFmtId="165" fontId="11" fillId="2" borderId="7" xfId="3" applyNumberFormat="1" applyFont="1" applyFill="1" applyBorder="1" applyAlignment="1">
      <alignment vertical="center"/>
    </xf>
    <xf numFmtId="165" fontId="11" fillId="2" borderId="7" xfId="7" applyNumberFormat="1" applyFont="1" applyFill="1" applyBorder="1" applyAlignment="1">
      <alignment horizontal="center" vertical="center"/>
    </xf>
    <xf numFmtId="3" fontId="11" fillId="2" borderId="7" xfId="2" applyNumberFormat="1" applyFont="1" applyFill="1" applyBorder="1" applyAlignment="1">
      <alignment horizontal="center" vertical="center"/>
    </xf>
    <xf numFmtId="165" fontId="11" fillId="2" borderId="7" xfId="3" applyNumberFormat="1" applyFont="1" applyFill="1" applyBorder="1" applyAlignment="1">
      <alignment horizontal="center" vertical="center"/>
    </xf>
    <xf numFmtId="43" fontId="11" fillId="2" borderId="7" xfId="1" applyNumberFormat="1" applyFont="1" applyFill="1" applyBorder="1" applyAlignment="1">
      <alignment vertical="center"/>
    </xf>
    <xf numFmtId="170" fontId="11" fillId="2" borderId="7" xfId="1" applyNumberFormat="1" applyFont="1" applyFill="1" applyBorder="1" applyAlignment="1">
      <alignment vertical="center"/>
    </xf>
    <xf numFmtId="166" fontId="11" fillId="2" borderId="7" xfId="3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horizontal="center" vertical="center"/>
    </xf>
    <xf numFmtId="165" fontId="11" fillId="2" borderId="7" xfId="1" applyNumberFormat="1" applyFont="1" applyFill="1" applyBorder="1" applyAlignment="1">
      <alignment vertical="center"/>
    </xf>
    <xf numFmtId="169" fontId="59" fillId="2" borderId="7" xfId="1" applyNumberFormat="1" applyFont="1" applyFill="1" applyBorder="1" applyAlignment="1">
      <alignment vertical="center"/>
    </xf>
    <xf numFmtId="165" fontId="11" fillId="2" borderId="7" xfId="1" applyNumberFormat="1" applyFont="1" applyFill="1" applyBorder="1" applyAlignment="1" applyProtection="1">
      <alignment vertical="center"/>
    </xf>
    <xf numFmtId="169" fontId="11" fillId="2" borderId="7" xfId="6" applyNumberFormat="1" applyFont="1" applyFill="1" applyBorder="1" applyAlignment="1">
      <alignment vertical="center"/>
    </xf>
    <xf numFmtId="165" fontId="11" fillId="2" borderId="7" xfId="1" applyNumberFormat="1" applyFont="1" applyFill="1" applyBorder="1" applyAlignment="1" applyProtection="1">
      <alignment horizontal="right" vertical="center"/>
    </xf>
    <xf numFmtId="165" fontId="62" fillId="2" borderId="7" xfId="0" applyNumberFormat="1" applyFont="1" applyFill="1" applyBorder="1" applyAlignment="1">
      <alignment horizontal="center" vertical="center"/>
    </xf>
    <xf numFmtId="165" fontId="31" fillId="2" borderId="7" xfId="0" applyNumberFormat="1" applyFont="1" applyFill="1" applyBorder="1" applyAlignment="1">
      <alignment horizontal="center" vertical="center"/>
    </xf>
    <xf numFmtId="166" fontId="31" fillId="2" borderId="4" xfId="1" applyNumberFormat="1" applyFont="1" applyFill="1" applyBorder="1" applyAlignment="1">
      <alignment vertical="center"/>
    </xf>
    <xf numFmtId="0" fontId="2" fillId="2" borderId="0" xfId="0" quotePrefix="1" applyFont="1" applyFill="1" applyAlignment="1">
      <alignment horizontal="center" vertical="center"/>
    </xf>
    <xf numFmtId="171" fontId="2" fillId="2" borderId="0" xfId="0" applyNumberFormat="1" applyFont="1" applyFill="1" applyAlignment="1">
      <alignment horizontal="center" vertical="center"/>
    </xf>
    <xf numFmtId="0" fontId="47" fillId="2" borderId="0" xfId="0" applyFont="1" applyFill="1" applyAlignment="1">
      <alignment vertical="center"/>
    </xf>
    <xf numFmtId="0" fontId="64" fillId="2" borderId="0" xfId="0" applyFont="1" applyFill="1" applyAlignment="1">
      <alignment vertical="center"/>
    </xf>
    <xf numFmtId="169" fontId="30" fillId="2" borderId="5" xfId="1" applyNumberFormat="1" applyFont="1" applyFill="1" applyBorder="1" applyAlignment="1">
      <alignment horizontal="center" vertical="center" wrapText="1"/>
    </xf>
    <xf numFmtId="169" fontId="11" fillId="2" borderId="5" xfId="1" applyNumberFormat="1" applyFont="1" applyFill="1" applyBorder="1" applyAlignment="1">
      <alignment horizontal="right" vertical="center"/>
    </xf>
    <xf numFmtId="165" fontId="58" fillId="2" borderId="5" xfId="1" applyNumberFormat="1" applyFont="1" applyFill="1" applyBorder="1" applyAlignment="1">
      <alignment vertical="center" shrinkToFit="1"/>
    </xf>
    <xf numFmtId="165" fontId="58" fillId="2" borderId="7" xfId="1" applyNumberFormat="1" applyFont="1" applyFill="1" applyBorder="1" applyAlignment="1">
      <alignment vertical="center" shrinkToFit="1"/>
    </xf>
    <xf numFmtId="169" fontId="30" fillId="2" borderId="6" xfId="1" applyNumberFormat="1" applyFont="1" applyFill="1" applyBorder="1" applyAlignment="1">
      <alignment horizontal="center" vertical="center"/>
    </xf>
    <xf numFmtId="169" fontId="30" fillId="2" borderId="6" xfId="1" quotePrefix="1" applyNumberFormat="1" applyFont="1" applyFill="1" applyBorder="1" applyAlignment="1">
      <alignment horizontal="center" vertical="center"/>
    </xf>
    <xf numFmtId="169" fontId="30" fillId="2" borderId="6" xfId="1" applyNumberFormat="1" applyFont="1" applyFill="1" applyBorder="1" applyAlignment="1">
      <alignment horizontal="center" vertical="center" shrinkToFit="1"/>
    </xf>
    <xf numFmtId="0" fontId="46" fillId="2" borderId="6" xfId="0" applyFont="1" applyFill="1" applyBorder="1" applyAlignment="1">
      <alignment horizontal="center" vertical="center" shrinkToFit="1"/>
    </xf>
    <xf numFmtId="164" fontId="46" fillId="2" borderId="6" xfId="40" applyFont="1" applyFill="1" applyBorder="1" applyAlignment="1">
      <alignment horizontal="center" vertical="center" shrinkToFit="1"/>
    </xf>
    <xf numFmtId="0" fontId="46" fillId="2" borderId="0" xfId="0" applyFont="1" applyFill="1" applyAlignment="1">
      <alignment horizontal="center" vertical="center"/>
    </xf>
    <xf numFmtId="0" fontId="4" fillId="2" borderId="0" xfId="0" applyFont="1" applyFill="1"/>
    <xf numFmtId="0" fontId="54" fillId="2" borderId="0" xfId="0" applyFont="1" applyFill="1"/>
    <xf numFmtId="165" fontId="28" fillId="2" borderId="5" xfId="1" applyNumberFormat="1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8" fillId="2" borderId="5" xfId="0" applyFont="1" applyFill="1" applyBorder="1" applyAlignment="1">
      <alignment vertical="center"/>
    </xf>
    <xf numFmtId="165" fontId="2" fillId="2" borderId="7" xfId="6" applyNumberFormat="1" applyFont="1" applyFill="1" applyBorder="1" applyAlignment="1">
      <alignment vertical="center" shrinkToFit="1"/>
    </xf>
    <xf numFmtId="165" fontId="28" fillId="2" borderId="7" xfId="1" applyNumberFormat="1" applyFont="1" applyFill="1" applyBorder="1" applyAlignment="1">
      <alignment vertical="center" shrinkToFit="1"/>
    </xf>
    <xf numFmtId="165" fontId="2" fillId="2" borderId="7" xfId="1" applyNumberFormat="1" applyFont="1" applyFill="1" applyBorder="1" applyAlignment="1">
      <alignment vertical="center" shrinkToFit="1"/>
    </xf>
    <xf numFmtId="165" fontId="10" fillId="2" borderId="7" xfId="1" applyNumberFormat="1" applyFont="1" applyFill="1" applyBorder="1" applyAlignment="1">
      <alignment vertical="center" shrinkToFit="1"/>
    </xf>
    <xf numFmtId="0" fontId="2" fillId="2" borderId="7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3" fontId="2" fillId="2" borderId="5" xfId="1" applyNumberFormat="1" applyFont="1" applyFill="1" applyBorder="1" applyAlignment="1">
      <alignment vertical="center" shrinkToFit="1"/>
    </xf>
    <xf numFmtId="3" fontId="2" fillId="2" borderId="5" xfId="2" applyNumberFormat="1" applyFont="1" applyFill="1" applyBorder="1" applyAlignment="1">
      <alignment horizontal="center" vertical="center" shrinkToFit="1"/>
    </xf>
    <xf numFmtId="165" fontId="2" fillId="2" borderId="5" xfId="7" applyNumberFormat="1" applyFont="1" applyFill="1" applyBorder="1" applyAlignment="1">
      <alignment horizontal="center" vertical="center" shrinkToFit="1"/>
    </xf>
    <xf numFmtId="165" fontId="2" fillId="2" borderId="5" xfId="3" applyNumberFormat="1" applyFont="1" applyFill="1" applyBorder="1" applyAlignment="1">
      <alignment horizontal="center" vertical="center" shrinkToFit="1"/>
    </xf>
    <xf numFmtId="165" fontId="2" fillId="2" borderId="5" xfId="3" applyNumberFormat="1" applyFont="1" applyFill="1" applyBorder="1" applyAlignment="1">
      <alignment vertical="center" shrinkToFit="1"/>
    </xf>
    <xf numFmtId="166" fontId="2" fillId="2" borderId="5" xfId="3" applyNumberFormat="1" applyFont="1" applyFill="1" applyBorder="1" applyAlignment="1">
      <alignment vertical="center" shrinkToFit="1"/>
    </xf>
    <xf numFmtId="170" fontId="2" fillId="2" borderId="5" xfId="1" applyNumberFormat="1" applyFont="1" applyFill="1" applyBorder="1" applyAlignment="1">
      <alignment vertical="center" shrinkToFit="1"/>
    </xf>
    <xf numFmtId="166" fontId="2" fillId="2" borderId="5" xfId="1" applyNumberFormat="1" applyFont="1" applyFill="1" applyBorder="1" applyAlignment="1">
      <alignment vertical="center" shrinkToFit="1"/>
    </xf>
    <xf numFmtId="3" fontId="2" fillId="2" borderId="5" xfId="0" applyNumberFormat="1" applyFont="1" applyFill="1" applyBorder="1" applyAlignment="1">
      <alignment horizontal="center" vertical="center" shrinkToFit="1"/>
    </xf>
    <xf numFmtId="169" fontId="26" fillId="2" borderId="5" xfId="1" applyNumberFormat="1" applyFont="1" applyFill="1" applyBorder="1" applyAlignment="1">
      <alignment vertical="center" shrinkToFit="1"/>
    </xf>
    <xf numFmtId="165" fontId="2" fillId="2" borderId="5" xfId="1" applyNumberFormat="1" applyFont="1" applyFill="1" applyBorder="1" applyAlignment="1" applyProtection="1">
      <alignment vertical="center" shrinkToFit="1"/>
    </xf>
    <xf numFmtId="169" fontId="2" fillId="2" borderId="5" xfId="6" applyNumberFormat="1" applyFont="1" applyFill="1" applyBorder="1" applyAlignment="1">
      <alignment vertical="center" shrinkToFit="1"/>
    </xf>
    <xf numFmtId="169" fontId="2" fillId="2" borderId="5" xfId="1" applyNumberFormat="1" applyFont="1" applyFill="1" applyBorder="1" applyAlignment="1">
      <alignment vertical="center" shrinkToFit="1"/>
    </xf>
    <xf numFmtId="169" fontId="2" fillId="2" borderId="5" xfId="1" applyNumberFormat="1" applyFont="1" applyFill="1" applyBorder="1" applyAlignment="1">
      <alignment horizontal="center" vertical="center" shrinkToFit="1"/>
    </xf>
    <xf numFmtId="165" fontId="10" fillId="2" borderId="5" xfId="0" applyNumberFormat="1" applyFont="1" applyFill="1" applyBorder="1" applyAlignment="1">
      <alignment horizontal="center" vertical="center" shrinkToFit="1"/>
    </xf>
    <xf numFmtId="43" fontId="2" fillId="2" borderId="5" xfId="1" applyNumberFormat="1" applyFont="1" applyFill="1" applyBorder="1" applyAlignment="1">
      <alignment vertical="center" shrinkToFit="1"/>
    </xf>
    <xf numFmtId="3" fontId="2" fillId="2" borderId="5" xfId="39" applyNumberFormat="1" applyFont="1" applyFill="1" applyBorder="1" applyAlignment="1">
      <alignment horizontal="right" vertical="center" shrinkToFit="1"/>
    </xf>
    <xf numFmtId="3" fontId="60" fillId="2" borderId="5" xfId="1" applyNumberFormat="1" applyFont="1" applyFill="1" applyBorder="1" applyAlignment="1">
      <alignment vertical="center" shrinkToFit="1"/>
    </xf>
    <xf numFmtId="165" fontId="60" fillId="2" borderId="5" xfId="3" applyNumberFormat="1" applyFont="1" applyFill="1" applyBorder="1" applyAlignment="1">
      <alignment horizontal="center" vertical="center" shrinkToFit="1"/>
    </xf>
    <xf numFmtId="165" fontId="2" fillId="2" borderId="5" xfId="1" applyNumberFormat="1" applyFont="1" applyFill="1" applyBorder="1" applyAlignment="1" applyProtection="1">
      <alignment horizontal="right" vertical="center" shrinkToFit="1"/>
    </xf>
    <xf numFmtId="165" fontId="17" fillId="2" borderId="5" xfId="1" applyNumberFormat="1" applyFont="1" applyFill="1" applyBorder="1" applyAlignment="1">
      <alignment horizontal="center" vertical="center" shrinkToFit="1"/>
    </xf>
    <xf numFmtId="165" fontId="17" fillId="2" borderId="5" xfId="0" applyNumberFormat="1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165" fontId="2" fillId="2" borderId="7" xfId="3" applyNumberFormat="1" applyFont="1" applyFill="1" applyBorder="1" applyAlignment="1">
      <alignment vertical="center" shrinkToFit="1"/>
    </xf>
    <xf numFmtId="165" fontId="2" fillId="2" borderId="7" xfId="7" applyNumberFormat="1" applyFont="1" applyFill="1" applyBorder="1" applyAlignment="1">
      <alignment horizontal="center" vertical="center" shrinkToFit="1"/>
    </xf>
    <xf numFmtId="3" fontId="2" fillId="2" borderId="7" xfId="2" applyNumberFormat="1" applyFont="1" applyFill="1" applyBorder="1" applyAlignment="1">
      <alignment horizontal="center" vertical="center" shrinkToFit="1"/>
    </xf>
    <xf numFmtId="165" fontId="2" fillId="2" borderId="7" xfId="3" applyNumberFormat="1" applyFont="1" applyFill="1" applyBorder="1" applyAlignment="1">
      <alignment horizontal="center" vertical="center" shrinkToFit="1"/>
    </xf>
    <xf numFmtId="43" fontId="2" fillId="2" borderId="7" xfId="1" applyNumberFormat="1" applyFont="1" applyFill="1" applyBorder="1" applyAlignment="1">
      <alignment vertical="center" shrinkToFit="1"/>
    </xf>
    <xf numFmtId="170" fontId="2" fillId="2" borderId="7" xfId="1" applyNumberFormat="1" applyFont="1" applyFill="1" applyBorder="1" applyAlignment="1">
      <alignment vertical="center" shrinkToFit="1"/>
    </xf>
    <xf numFmtId="166" fontId="2" fillId="2" borderId="7" xfId="3" applyNumberFormat="1" applyFont="1" applyFill="1" applyBorder="1" applyAlignment="1">
      <alignment vertical="center" shrinkToFit="1"/>
    </xf>
    <xf numFmtId="3" fontId="2" fillId="2" borderId="7" xfId="0" applyNumberFormat="1" applyFont="1" applyFill="1" applyBorder="1" applyAlignment="1">
      <alignment horizontal="center" vertical="center" shrinkToFit="1"/>
    </xf>
    <xf numFmtId="169" fontId="26" fillId="2" borderId="7" xfId="1" applyNumberFormat="1" applyFont="1" applyFill="1" applyBorder="1" applyAlignment="1">
      <alignment vertical="center" shrinkToFit="1"/>
    </xf>
    <xf numFmtId="165" fontId="2" fillId="2" borderId="7" xfId="1" applyNumberFormat="1" applyFont="1" applyFill="1" applyBorder="1" applyAlignment="1" applyProtection="1">
      <alignment vertical="center" shrinkToFit="1"/>
    </xf>
    <xf numFmtId="169" fontId="2" fillId="2" borderId="7" xfId="6" applyNumberFormat="1" applyFont="1" applyFill="1" applyBorder="1" applyAlignment="1">
      <alignment vertical="center" shrinkToFit="1"/>
    </xf>
    <xf numFmtId="165" fontId="2" fillId="2" borderId="7" xfId="1" applyNumberFormat="1" applyFont="1" applyFill="1" applyBorder="1" applyAlignment="1" applyProtection="1">
      <alignment horizontal="right" vertical="center" shrinkToFit="1"/>
    </xf>
    <xf numFmtId="165" fontId="17" fillId="2" borderId="7" xfId="0" applyNumberFormat="1" applyFont="1" applyFill="1" applyBorder="1" applyAlignment="1">
      <alignment horizontal="center" vertical="center" shrinkToFit="1"/>
    </xf>
    <xf numFmtId="165" fontId="10" fillId="2" borderId="7" xfId="0" applyNumberFormat="1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165" fontId="10" fillId="2" borderId="4" xfId="1" applyNumberFormat="1" applyFont="1" applyFill="1" applyBorder="1" applyAlignment="1">
      <alignment vertical="center" shrinkToFit="1"/>
    </xf>
    <xf numFmtId="166" fontId="10" fillId="2" borderId="4" xfId="1" applyNumberFormat="1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wrapText="1" shrinkToFit="1"/>
    </xf>
    <xf numFmtId="169" fontId="2" fillId="2" borderId="5" xfId="1" applyNumberFormat="1" applyFont="1" applyFill="1" applyBorder="1" applyAlignment="1">
      <alignment horizontal="right" vertical="center" shrinkToFit="1"/>
    </xf>
    <xf numFmtId="169" fontId="11" fillId="2" borderId="6" xfId="1" applyNumberFormat="1" applyFont="1" applyFill="1" applyBorder="1" applyAlignment="1">
      <alignment horizontal="center" vertical="center" wrapText="1"/>
    </xf>
    <xf numFmtId="169" fontId="11" fillId="2" borderId="6" xfId="1" applyNumberFormat="1" applyFont="1" applyFill="1" applyBorder="1" applyAlignment="1">
      <alignment vertical="center" wrapText="1"/>
    </xf>
    <xf numFmtId="169" fontId="11" fillId="2" borderId="6" xfId="1" applyNumberFormat="1" applyFont="1" applyFill="1" applyBorder="1" applyAlignment="1">
      <alignment horizontal="center" vertical="center" shrinkToFit="1"/>
    </xf>
    <xf numFmtId="169" fontId="11" fillId="2" borderId="6" xfId="1" quotePrefix="1" applyNumberFormat="1" applyFont="1" applyFill="1" applyBorder="1" applyAlignment="1">
      <alignment horizontal="center" vertical="center" shrinkToFit="1"/>
    </xf>
    <xf numFmtId="169" fontId="11" fillId="2" borderId="6" xfId="1" applyNumberFormat="1" applyFont="1" applyFill="1" applyBorder="1" applyAlignment="1">
      <alignment horizontal="center" shrinkToFit="1"/>
    </xf>
    <xf numFmtId="0" fontId="65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165" fontId="40" fillId="2" borderId="0" xfId="0" applyNumberFormat="1" applyFont="1" applyFill="1" applyAlignment="1">
      <alignment horizontal="center" vertical="center"/>
    </xf>
    <xf numFmtId="0" fontId="31" fillId="2" borderId="4" xfId="0" applyFont="1" applyFill="1" applyBorder="1" applyAlignment="1">
      <alignment horizontal="center" vertical="center" shrinkToFit="1"/>
    </xf>
    <xf numFmtId="166" fontId="31" fillId="2" borderId="4" xfId="1" applyNumberFormat="1" applyFont="1" applyFill="1" applyBorder="1" applyAlignment="1">
      <alignment vertical="center" shrinkToFit="1"/>
    </xf>
    <xf numFmtId="0" fontId="41" fillId="2" borderId="0" xfId="0" applyFont="1" applyFill="1" applyAlignment="1">
      <alignment vertical="center" shrinkToFit="1"/>
    </xf>
    <xf numFmtId="169" fontId="30" fillId="2" borderId="6" xfId="1" applyNumberFormat="1" applyFont="1" applyFill="1" applyBorder="1" applyAlignment="1">
      <alignment vertical="center" wrapText="1"/>
    </xf>
    <xf numFmtId="0" fontId="66" fillId="2" borderId="0" xfId="0" applyFont="1" applyFill="1" applyAlignment="1">
      <alignment vertical="center"/>
    </xf>
    <xf numFmtId="0" fontId="51" fillId="2" borderId="1" xfId="0" applyFont="1" applyFill="1" applyBorder="1" applyAlignment="1">
      <alignment vertical="center" wrapText="1"/>
    </xf>
    <xf numFmtId="0" fontId="51" fillId="2" borderId="1" xfId="0" applyFont="1" applyFill="1" applyBorder="1" applyAlignment="1">
      <alignment horizontal="center" vertical="center" wrapText="1"/>
    </xf>
    <xf numFmtId="166" fontId="51" fillId="2" borderId="1" xfId="0" applyNumberFormat="1" applyFont="1" applyFill="1" applyBorder="1" applyAlignment="1">
      <alignment horizontal="center" vertical="center" wrapText="1"/>
    </xf>
    <xf numFmtId="167" fontId="31" fillId="2" borderId="4" xfId="1" applyFont="1" applyFill="1" applyBorder="1" applyAlignment="1">
      <alignment vertical="center" shrinkToFit="1"/>
    </xf>
    <xf numFmtId="0" fontId="17" fillId="2" borderId="0" xfId="0" applyFont="1" applyFill="1" applyAlignment="1">
      <alignment vertical="center"/>
    </xf>
    <xf numFmtId="3" fontId="2" fillId="2" borderId="5" xfId="1" applyNumberFormat="1" applyFont="1" applyFill="1" applyBorder="1" applyAlignment="1">
      <alignment vertical="center"/>
    </xf>
    <xf numFmtId="0" fontId="30" fillId="2" borderId="7" xfId="0" applyFont="1" applyFill="1" applyBorder="1" applyAlignment="1">
      <alignment vertical="center"/>
    </xf>
    <xf numFmtId="169" fontId="11" fillId="2" borderId="7" xfId="1" applyNumberFormat="1" applyFont="1" applyFill="1" applyBorder="1" applyAlignment="1">
      <alignment vertical="center"/>
    </xf>
    <xf numFmtId="165" fontId="47" fillId="2" borderId="6" xfId="1" applyNumberFormat="1" applyFont="1" applyFill="1" applyBorder="1" applyAlignment="1">
      <alignment horizontal="center" vertical="center" shrinkToFit="1"/>
    </xf>
    <xf numFmtId="165" fontId="47" fillId="2" borderId="5" xfId="1" applyNumberFormat="1" applyFont="1" applyFill="1" applyBorder="1" applyAlignment="1">
      <alignment horizontal="center" vertical="center" shrinkToFit="1"/>
    </xf>
    <xf numFmtId="165" fontId="47" fillId="2" borderId="21" xfId="1" applyNumberFormat="1" applyFont="1" applyFill="1" applyBorder="1" applyAlignment="1">
      <alignment horizontal="center" vertical="center" shrinkToFit="1"/>
    </xf>
    <xf numFmtId="165" fontId="47" fillId="2" borderId="6" xfId="1" applyNumberFormat="1" applyFont="1" applyFill="1" applyBorder="1" applyAlignment="1">
      <alignment horizontal="center" vertical="center" wrapText="1" shrinkToFit="1"/>
    </xf>
    <xf numFmtId="165" fontId="47" fillId="2" borderId="5" xfId="1" applyNumberFormat="1" applyFont="1" applyFill="1" applyBorder="1" applyAlignment="1">
      <alignment horizontal="center" vertical="center" wrapText="1" shrinkToFit="1"/>
    </xf>
    <xf numFmtId="165" fontId="47" fillId="2" borderId="21" xfId="1" applyNumberFormat="1" applyFont="1" applyFill="1" applyBorder="1" applyAlignment="1">
      <alignment horizontal="center" vertical="center" wrapText="1" shrinkToFit="1"/>
    </xf>
    <xf numFmtId="0" fontId="47" fillId="2" borderId="19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47" fillId="2" borderId="21" xfId="0" applyFont="1" applyFill="1" applyBorder="1" applyAlignment="1">
      <alignment horizontal="center" vertical="center" wrapText="1"/>
    </xf>
    <xf numFmtId="165" fontId="47" fillId="2" borderId="1" xfId="1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51" fillId="2" borderId="2" xfId="2" applyFont="1" applyFill="1" applyBorder="1" applyAlignment="1">
      <alignment horizontal="center" vertical="center" wrapText="1"/>
    </xf>
    <xf numFmtId="0" fontId="51" fillId="2" borderId="4" xfId="2" applyFont="1" applyFill="1" applyBorder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51" fillId="2" borderId="8" xfId="0" applyFont="1" applyFill="1" applyBorder="1" applyAlignment="1">
      <alignment horizontal="center" vertical="center" wrapText="1"/>
    </xf>
    <xf numFmtId="0" fontId="51" fillId="2" borderId="10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textRotation="90" wrapText="1"/>
    </xf>
    <xf numFmtId="0" fontId="51" fillId="2" borderId="4" xfId="0" applyFont="1" applyFill="1" applyBorder="1" applyAlignment="1">
      <alignment horizontal="center" vertical="center" textRotation="90" wrapText="1"/>
    </xf>
    <xf numFmtId="0" fontId="51" fillId="2" borderId="8" xfId="0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51" fillId="2" borderId="11" xfId="0" applyFont="1" applyFill="1" applyBorder="1" applyAlignment="1">
      <alignment horizontal="center" vertical="center" wrapText="1"/>
    </xf>
    <xf numFmtId="0" fontId="51" fillId="2" borderId="20" xfId="0" applyFont="1" applyFill="1" applyBorder="1" applyAlignment="1">
      <alignment horizontal="center" vertical="center" wrapText="1"/>
    </xf>
    <xf numFmtId="0" fontId="51" fillId="2" borderId="12" xfId="0" applyFont="1" applyFill="1" applyBorder="1" applyAlignment="1">
      <alignment horizontal="center" vertical="center" wrapText="1"/>
    </xf>
    <xf numFmtId="0" fontId="51" fillId="2" borderId="13" xfId="0" applyFont="1" applyFill="1" applyBorder="1" applyAlignment="1">
      <alignment horizontal="center" vertical="center" wrapText="1"/>
    </xf>
    <xf numFmtId="0" fontId="51" fillId="2" borderId="15" xfId="0" applyFont="1" applyFill="1" applyBorder="1" applyAlignment="1">
      <alignment horizontal="center" vertical="center" wrapText="1"/>
    </xf>
    <xf numFmtId="0" fontId="51" fillId="2" borderId="14" xfId="0" applyFont="1" applyFill="1" applyBorder="1" applyAlignment="1">
      <alignment horizontal="center" vertical="center" wrapText="1"/>
    </xf>
    <xf numFmtId="166" fontId="51" fillId="2" borderId="8" xfId="0" applyNumberFormat="1" applyFont="1" applyFill="1" applyBorder="1" applyAlignment="1">
      <alignment horizontal="center" vertical="center" wrapText="1"/>
    </xf>
    <xf numFmtId="166" fontId="51" fillId="2" borderId="9" xfId="0" applyNumberFormat="1" applyFont="1" applyFill="1" applyBorder="1" applyAlignment="1">
      <alignment horizontal="center" vertical="center" wrapText="1"/>
    </xf>
    <xf numFmtId="166" fontId="51" fillId="2" borderId="10" xfId="0" applyNumberFormat="1" applyFont="1" applyFill="1" applyBorder="1" applyAlignment="1">
      <alignment horizontal="center" vertical="center" wrapText="1"/>
    </xf>
    <xf numFmtId="0" fontId="51" fillId="2" borderId="9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47" fillId="2" borderId="2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textRotation="90" wrapText="1"/>
    </xf>
    <xf numFmtId="0" fontId="50" fillId="2" borderId="2" xfId="0" applyFont="1" applyFill="1" applyBorder="1" applyAlignment="1">
      <alignment horizontal="center" vertical="center" textRotation="90" wrapText="1"/>
    </xf>
    <xf numFmtId="0" fontId="50" fillId="2" borderId="4" xfId="0" applyFont="1" applyFill="1" applyBorder="1" applyAlignment="1">
      <alignment horizontal="center" vertical="center" textRotation="90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0" fontId="47" fillId="2" borderId="2" xfId="2" applyFont="1" applyFill="1" applyBorder="1" applyAlignment="1">
      <alignment horizontal="center" vertical="center" wrapText="1"/>
    </xf>
    <xf numFmtId="0" fontId="47" fillId="2" borderId="4" xfId="2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47" fillId="2" borderId="10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49" fillId="2" borderId="12" xfId="0" applyFont="1" applyFill="1" applyBorder="1" applyAlignment="1">
      <alignment horizontal="center" vertical="center" wrapText="1"/>
    </xf>
    <xf numFmtId="0" fontId="49" fillId="2" borderId="13" xfId="0" applyFont="1" applyFill="1" applyBorder="1" applyAlignment="1">
      <alignment horizontal="center" vertical="center" wrapText="1"/>
    </xf>
    <xf numFmtId="0" fontId="49" fillId="2" borderId="14" xfId="0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 wrapText="1"/>
    </xf>
    <xf numFmtId="0" fontId="49" fillId="2" borderId="15" xfId="0" applyFont="1" applyFill="1" applyBorder="1" applyAlignment="1">
      <alignment horizontal="center" vertical="center" wrapText="1"/>
    </xf>
    <xf numFmtId="0" fontId="50" fillId="2" borderId="11" xfId="0" applyFont="1" applyFill="1" applyBorder="1" applyAlignment="1">
      <alignment horizontal="center" vertical="center" wrapText="1"/>
    </xf>
    <xf numFmtId="0" fontId="50" fillId="2" borderId="12" xfId="0" applyFont="1" applyFill="1" applyBorder="1" applyAlignment="1">
      <alignment horizontal="center" vertical="center" wrapText="1"/>
    </xf>
    <xf numFmtId="0" fontId="50" fillId="2" borderId="13" xfId="0" applyFont="1" applyFill="1" applyBorder="1" applyAlignment="1">
      <alignment horizontal="center" vertical="center" wrapText="1"/>
    </xf>
    <xf numFmtId="0" fontId="50" fillId="2" borderId="14" xfId="0" applyFont="1" applyFill="1" applyBorder="1" applyAlignment="1">
      <alignment horizontal="center" vertical="center" wrapText="1"/>
    </xf>
    <xf numFmtId="166" fontId="49" fillId="2" borderId="8" xfId="0" applyNumberFormat="1" applyFont="1" applyFill="1" applyBorder="1" applyAlignment="1">
      <alignment horizontal="center" vertical="center" wrapText="1"/>
    </xf>
    <xf numFmtId="166" fontId="49" fillId="2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47" fillId="2" borderId="3" xfId="2" applyFont="1" applyFill="1" applyBorder="1" applyAlignment="1">
      <alignment horizontal="center" vertical="center" wrapText="1"/>
    </xf>
    <xf numFmtId="0" fontId="51" fillId="2" borderId="3" xfId="2" applyFont="1" applyFill="1" applyBorder="1" applyAlignment="1">
      <alignment horizontal="center" vertical="center" wrapText="1"/>
    </xf>
    <xf numFmtId="165" fontId="10" fillId="2" borderId="6" xfId="1" applyNumberFormat="1" applyFont="1" applyFill="1" applyBorder="1" applyAlignment="1">
      <alignment horizontal="center" vertical="center" wrapText="1" shrinkToFit="1"/>
    </xf>
    <xf numFmtId="165" fontId="10" fillId="2" borderId="5" xfId="1" applyNumberFormat="1" applyFont="1" applyFill="1" applyBorder="1" applyAlignment="1">
      <alignment horizontal="center" vertical="center" wrapText="1" shrinkToFit="1"/>
    </xf>
    <xf numFmtId="165" fontId="10" fillId="2" borderId="21" xfId="1" applyNumberFormat="1" applyFont="1" applyFill="1" applyBorder="1" applyAlignment="1">
      <alignment horizontal="center" vertical="center" wrapText="1" shrinkToFit="1"/>
    </xf>
    <xf numFmtId="165" fontId="10" fillId="2" borderId="6" xfId="1" applyNumberFormat="1" applyFont="1" applyFill="1" applyBorder="1" applyAlignment="1">
      <alignment horizontal="center" vertical="center" shrinkToFit="1"/>
    </xf>
    <xf numFmtId="165" fontId="10" fillId="2" borderId="5" xfId="1" applyNumberFormat="1" applyFont="1" applyFill="1" applyBorder="1" applyAlignment="1">
      <alignment horizontal="center" vertical="center" shrinkToFit="1"/>
    </xf>
    <xf numFmtId="165" fontId="10" fillId="2" borderId="21" xfId="1" applyNumberFormat="1" applyFont="1" applyFill="1" applyBorder="1" applyAlignment="1">
      <alignment horizontal="center" vertical="center" shrinkToFit="1"/>
    </xf>
    <xf numFmtId="165" fontId="10" fillId="2" borderId="1" xfId="1" applyNumberFormat="1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textRotation="90" wrapText="1"/>
    </xf>
    <xf numFmtId="0" fontId="30" fillId="2" borderId="4" xfId="0" applyFont="1" applyFill="1" applyBorder="1" applyAlignment="1">
      <alignment horizontal="center" vertical="center" textRotation="90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166" fontId="3" fillId="2" borderId="8" xfId="0" applyNumberFormat="1" applyFont="1" applyFill="1" applyBorder="1" applyAlignment="1">
      <alignment horizontal="center" vertical="center" wrapText="1"/>
    </xf>
    <xf numFmtId="166" fontId="3" fillId="2" borderId="9" xfId="0" applyNumberFormat="1" applyFont="1" applyFill="1" applyBorder="1" applyAlignment="1">
      <alignment horizontal="center" vertical="center" wrapText="1"/>
    </xf>
    <xf numFmtId="166" fontId="3" fillId="2" borderId="1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 vertical="center" wrapText="1"/>
    </xf>
  </cellXfs>
  <cellStyles count="41">
    <cellStyle name="Bình thường 6" xfId="5" xr:uid="{00000000-0005-0000-0000-000000000000}"/>
    <cellStyle name="Comma" xfId="40" builtinId="3"/>
    <cellStyle name="Comma 10" xfId="38" xr:uid="{00000000-0005-0000-0000-000001000000}"/>
    <cellStyle name="Comma 11" xfId="6" xr:uid="{00000000-0005-0000-0000-000002000000}"/>
    <cellStyle name="Comma 2" xfId="1" xr:uid="{00000000-0005-0000-0000-000003000000}"/>
    <cellStyle name="Comma 2 2" xfId="3" xr:uid="{00000000-0005-0000-0000-000004000000}"/>
    <cellStyle name="Comma 2 2 2" xfId="7" xr:uid="{00000000-0005-0000-0000-000005000000}"/>
    <cellStyle name="Comma 2 2 2 2" xfId="8" xr:uid="{00000000-0005-0000-0000-000006000000}"/>
    <cellStyle name="Comma 2 2 2 2 2" xfId="31" xr:uid="{00000000-0005-0000-0000-000007000000}"/>
    <cellStyle name="Comma 2 2 2 3" xfId="30" xr:uid="{00000000-0005-0000-0000-000008000000}"/>
    <cellStyle name="Comma 2_Thanh toan coi cham thi thang 6 nam 2011" xfId="9" xr:uid="{00000000-0005-0000-0000-000009000000}"/>
    <cellStyle name="Comma 3" xfId="10" xr:uid="{00000000-0005-0000-0000-00000A000000}"/>
    <cellStyle name="Comma 3 2" xfId="11" xr:uid="{00000000-0005-0000-0000-00000B000000}"/>
    <cellStyle name="Comma 3 2 2" xfId="32" xr:uid="{00000000-0005-0000-0000-00000C000000}"/>
    <cellStyle name="Comma 4" xfId="12" xr:uid="{00000000-0005-0000-0000-00000D000000}"/>
    <cellStyle name="Comma 4 2" xfId="33" xr:uid="{00000000-0005-0000-0000-00000E000000}"/>
    <cellStyle name="Comma 5" xfId="29" xr:uid="{00000000-0005-0000-0000-00000F000000}"/>
    <cellStyle name="Comma 6" xfId="36" xr:uid="{00000000-0005-0000-0000-000010000000}"/>
    <cellStyle name="Comma 7" xfId="13" xr:uid="{00000000-0005-0000-0000-000011000000}"/>
    <cellStyle name="Comma 7 2" xfId="14" xr:uid="{00000000-0005-0000-0000-000012000000}"/>
    <cellStyle name="Comma 7 2 2" xfId="34" xr:uid="{00000000-0005-0000-0000-000013000000}"/>
    <cellStyle name="Comma 8" xfId="28" xr:uid="{00000000-0005-0000-0000-000014000000}"/>
    <cellStyle name="Comma 8 2" xfId="37" xr:uid="{00000000-0005-0000-0000-000015000000}"/>
    <cellStyle name="Comma 9" xfId="15" xr:uid="{00000000-0005-0000-0000-000016000000}"/>
    <cellStyle name="Comma 9 2" xfId="16" xr:uid="{00000000-0005-0000-0000-000017000000}"/>
    <cellStyle name="Comma 9 2 2" xfId="35" xr:uid="{00000000-0005-0000-0000-000018000000}"/>
    <cellStyle name="Normal" xfId="0" builtinId="0"/>
    <cellStyle name="Normal 101" xfId="26" xr:uid="{00000000-0005-0000-0000-00001A000000}"/>
    <cellStyle name="Normal 110" xfId="23" xr:uid="{00000000-0005-0000-0000-00001B000000}"/>
    <cellStyle name="Normal 114" xfId="27" xr:uid="{00000000-0005-0000-0000-00001C000000}"/>
    <cellStyle name="Normal 126" xfId="25" xr:uid="{00000000-0005-0000-0000-00001D000000}"/>
    <cellStyle name="Normal 13 2" xfId="24" xr:uid="{00000000-0005-0000-0000-00001E000000}"/>
    <cellStyle name="Normal 2" xfId="17" xr:uid="{00000000-0005-0000-0000-00001F000000}"/>
    <cellStyle name="Normal 3" xfId="2" xr:uid="{00000000-0005-0000-0000-000020000000}"/>
    <cellStyle name="Normal 4" xfId="18" xr:uid="{00000000-0005-0000-0000-000021000000}"/>
    <cellStyle name="Normal 41" xfId="22" xr:uid="{00000000-0005-0000-0000-000022000000}"/>
    <cellStyle name="Normal 5" xfId="19" xr:uid="{00000000-0005-0000-0000-000023000000}"/>
    <cellStyle name="Normal 59" xfId="21" xr:uid="{00000000-0005-0000-0000-000024000000}"/>
    <cellStyle name="Normal 6" xfId="4" xr:uid="{00000000-0005-0000-0000-000025000000}"/>
    <cellStyle name="Normal_CT HSSV - PHCP KK (OK)" xfId="39" xr:uid="{00000000-0005-0000-0000-000026000000}"/>
    <cellStyle name="Percent 3" xfId="20" xr:uid="{00000000-0005-0000-0000-00002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430184</xdr:colOff>
      <xdr:row>2</xdr:row>
      <xdr:rowOff>15240</xdr:rowOff>
    </xdr:from>
    <xdr:to>
      <xdr:col>3</xdr:col>
      <xdr:colOff>784860</xdr:colOff>
      <xdr:row>2</xdr:row>
      <xdr:rowOff>18703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6E51DB6-0A9C-47F3-8F89-58972A11F77C}"/>
            </a:ext>
          </a:extLst>
        </xdr:cNvPr>
        <xdr:cNvCxnSpPr/>
      </xdr:nvCxnSpPr>
      <xdr:spPr>
        <a:xfrm flipV="1">
          <a:off x="719744" y="411480"/>
          <a:ext cx="2343496" cy="346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521624</xdr:colOff>
      <xdr:row>2</xdr:row>
      <xdr:rowOff>22860</xdr:rowOff>
    </xdr:from>
    <xdr:to>
      <xdr:col>4</xdr:col>
      <xdr:colOff>594360</xdr:colOff>
      <xdr:row>2</xdr:row>
      <xdr:rowOff>41563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15D43DD-1DC2-4816-9AD2-39FB86E686A7}"/>
            </a:ext>
          </a:extLst>
        </xdr:cNvPr>
        <xdr:cNvCxnSpPr/>
      </xdr:nvCxnSpPr>
      <xdr:spPr>
        <a:xfrm flipV="1">
          <a:off x="811184" y="495300"/>
          <a:ext cx="3105496" cy="187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300644</xdr:colOff>
      <xdr:row>2</xdr:row>
      <xdr:rowOff>7620</xdr:rowOff>
    </xdr:from>
    <xdr:to>
      <xdr:col>4</xdr:col>
      <xdr:colOff>72934</xdr:colOff>
      <xdr:row>2</xdr:row>
      <xdr:rowOff>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9E5DB62-86A7-4224-898A-C9D4C4C652BB}"/>
            </a:ext>
          </a:extLst>
        </xdr:cNvPr>
        <xdr:cNvCxnSpPr/>
      </xdr:nvCxnSpPr>
      <xdr:spPr>
        <a:xfrm flipV="1">
          <a:off x="666404" y="403860"/>
          <a:ext cx="2736470" cy="673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498764</xdr:colOff>
      <xdr:row>2</xdr:row>
      <xdr:rowOff>43543</xdr:rowOff>
    </xdr:from>
    <xdr:to>
      <xdr:col>4</xdr:col>
      <xdr:colOff>65314</xdr:colOff>
      <xdr:row>2</xdr:row>
      <xdr:rowOff>52450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C10EA22-C94B-4F0E-BC46-7DA18786A12D}"/>
            </a:ext>
          </a:extLst>
        </xdr:cNvPr>
        <xdr:cNvCxnSpPr/>
      </xdr:nvCxnSpPr>
      <xdr:spPr>
        <a:xfrm flipV="1">
          <a:off x="864524" y="455023"/>
          <a:ext cx="3216530" cy="89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2</xdr:row>
      <xdr:rowOff>9525</xdr:rowOff>
    </xdr:from>
    <xdr:to>
      <xdr:col>4</xdr:col>
      <xdr:colOff>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2F93591-B982-4CF8-84E3-4EAF91901C7F}"/>
            </a:ext>
          </a:extLst>
        </xdr:cNvPr>
        <xdr:cNvCxnSpPr/>
      </xdr:nvCxnSpPr>
      <xdr:spPr>
        <a:xfrm>
          <a:off x="876300" y="409575"/>
          <a:ext cx="22955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.%20T&#7892;NG%20H&#7906;P%20L&#431;&#416;NG%20N&#258;M%202025...xlsx" TargetMode="External"/><Relationship Id="rId2" Type="http://schemas.openxmlformats.org/officeDocument/2006/relationships/externalLinkPath" Target="file:///G:\My%20Drive\L&#431;&#416;NG%202025\L&#431;&#416;NG%20HC.%202025\1.%20T&#7892;NG%20H&#7906;P%20L&#431;&#416;NG%20N&#258;M%202025...xlsx" TargetMode="External"/><Relationship Id="rId1" Type="http://schemas.openxmlformats.org/officeDocument/2006/relationships/externalLinkPath" Target="/My%20Drive/L&#431;&#416;NG%202025/L&#431;&#416;NG%20HC.%202025/1.%20T&#7892;NG%20H&#7906;P%20L&#431;&#416;NG%20N&#258;M%202025..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TH&#193;NG%202.26/PHCP/6.%20L&#432;&#417;ng%20T2-2026%20CK&amp;VHTBM%20(Hai).xlsx" TargetMode="External"/><Relationship Id="rId2" Type="http://schemas.openxmlformats.org/officeDocument/2006/relationships/externalLinkPath" Target="file:///G:\My%20Drive\L&#431;&#416;NG%202025\L&#431;&#416;NG%202026%20PH&#210;NG%20TCL&#272;%20G&#7916;I\TH&#193;NG%202.26\PHCP\6.%20L&#432;&#417;ng%20T2-2026%20CK&amp;VHTBM%20(Hai).xlsx" TargetMode="External"/><Relationship Id="rId1" Type="http://schemas.openxmlformats.org/officeDocument/2006/relationships/externalLinkPath" Target="/My%20Drive/L&#431;&#416;NG%202025/L&#431;&#416;NG%202026%20PH&#210;NG%20TCL&#272;%20G&#7916;I/TH&#193;NG%202.26/PHCP/6.%20L&#432;&#417;ng%20T2-2026%20CK&amp;VHTBM%20(Ha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12.24-ok"/>
      <sheetName val="T01.25"/>
      <sheetName val="T01.25 (2)"/>
      <sheetName val="T02.25 "/>
      <sheetName val="T02.25."/>
      <sheetName val="T3.25"/>
      <sheetName val="T4.25 "/>
      <sheetName val="T4.25.1"/>
      <sheetName val="T5.25 "/>
      <sheetName val="T5.25  (2)"/>
      <sheetName val="T6.25"/>
      <sheetName val="T7.25 "/>
      <sheetName val="T8.25"/>
      <sheetName val="T9.25 (2)"/>
      <sheetName val="T9.25"/>
      <sheetName val="T10.25"/>
      <sheetName val="T11.25 "/>
      <sheetName val="T12.25"/>
      <sheetName val="T12.25 (mẫu mới)"/>
      <sheetName val="T01.26"/>
      <sheetName val="T4.26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0">
          <cell r="AU40">
            <v>23048700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xz"/>
      <sheetName val="TS T1-2022"/>
      <sheetName val="DT ngắn hạn"/>
      <sheetName val="DS xác nhận TS Hệ A"/>
      <sheetName val="1. theo dõi GG"/>
      <sheetName val="2. Tổng hợp GG"/>
      <sheetName val="8. BC giờ giảng"/>
      <sheetName val="3. Chấm công"/>
      <sheetName val="Công sc tháng 2"/>
      <sheetName val="4. GVCN"/>
      <sheetName val="5. Coi chấm thi"/>
      <sheetName val="6. THKH tháng"/>
      <sheetName val="7. Thanh toán vượt giờ"/>
      <sheetName val="9. Ăn ca"/>
      <sheetName val="10. Điện thoại"/>
      <sheetName val="11. Xếp loại"/>
      <sheetName val="13. Lương"/>
      <sheetName val="PCPN"/>
      <sheetName val="TH XLCL chưa chi (k in)"/>
      <sheetName val="Lương 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AH8">
            <v>15</v>
          </cell>
          <cell r="AI8">
            <v>5</v>
          </cell>
          <cell r="AJ8">
            <v>0</v>
          </cell>
          <cell r="AL8">
            <v>0</v>
          </cell>
          <cell r="AP8">
            <v>0</v>
          </cell>
          <cell r="AT8">
            <v>0</v>
          </cell>
        </row>
        <row r="9">
          <cell r="AI9">
            <v>10</v>
          </cell>
          <cell r="AL9">
            <v>0</v>
          </cell>
          <cell r="AP9">
            <v>0</v>
          </cell>
          <cell r="AR9">
            <v>10</v>
          </cell>
          <cell r="AT9">
            <v>0</v>
          </cell>
        </row>
        <row r="10">
          <cell r="AI10">
            <v>10</v>
          </cell>
          <cell r="AJ10">
            <v>0</v>
          </cell>
          <cell r="AK10">
            <v>0</v>
          </cell>
          <cell r="AL10">
            <v>0</v>
          </cell>
          <cell r="AP10">
            <v>0</v>
          </cell>
          <cell r="AR10">
            <v>10</v>
          </cell>
          <cell r="AT10">
            <v>0</v>
          </cell>
        </row>
        <row r="11">
          <cell r="AI11">
            <v>10</v>
          </cell>
          <cell r="AK11">
            <v>0</v>
          </cell>
          <cell r="AL11">
            <v>0</v>
          </cell>
          <cell r="AO11">
            <v>0</v>
          </cell>
          <cell r="AP11">
            <v>0</v>
          </cell>
          <cell r="AR11">
            <v>10</v>
          </cell>
        </row>
        <row r="12">
          <cell r="AI12">
            <v>10</v>
          </cell>
          <cell r="AR12">
            <v>0</v>
          </cell>
        </row>
        <row r="13">
          <cell r="AI13">
            <v>10</v>
          </cell>
          <cell r="AJ13">
            <v>0</v>
          </cell>
          <cell r="AK13">
            <v>0</v>
          </cell>
          <cell r="AL13">
            <v>0</v>
          </cell>
          <cell r="AP13">
            <v>0</v>
          </cell>
          <cell r="AR13">
            <v>10</v>
          </cell>
          <cell r="AT13">
            <v>0</v>
          </cell>
        </row>
        <row r="14">
          <cell r="AI14">
            <v>10</v>
          </cell>
          <cell r="AJ14">
            <v>0</v>
          </cell>
          <cell r="AK14">
            <v>0</v>
          </cell>
          <cell r="AL14">
            <v>0</v>
          </cell>
          <cell r="AP14">
            <v>0</v>
          </cell>
          <cell r="AR14">
            <v>10</v>
          </cell>
          <cell r="AT14">
            <v>12.5</v>
          </cell>
        </row>
        <row r="15">
          <cell r="AI15">
            <v>10</v>
          </cell>
          <cell r="AJ15">
            <v>0</v>
          </cell>
          <cell r="AK15">
            <v>0</v>
          </cell>
          <cell r="AL15">
            <v>0</v>
          </cell>
          <cell r="AP15">
            <v>0</v>
          </cell>
          <cell r="AR15">
            <v>10</v>
          </cell>
          <cell r="AT15">
            <v>0</v>
          </cell>
        </row>
        <row r="16">
          <cell r="AI16">
            <v>10</v>
          </cell>
          <cell r="AJ16">
            <v>0</v>
          </cell>
          <cell r="AK16">
            <v>0</v>
          </cell>
          <cell r="AL16">
            <v>0</v>
          </cell>
          <cell r="AP16">
            <v>0</v>
          </cell>
          <cell r="AR16">
            <v>10</v>
          </cell>
          <cell r="AT16">
            <v>18.5</v>
          </cell>
        </row>
        <row r="17">
          <cell r="AI17">
            <v>10</v>
          </cell>
          <cell r="AJ17">
            <v>0</v>
          </cell>
          <cell r="AK17">
            <v>0</v>
          </cell>
          <cell r="AL17">
            <v>0</v>
          </cell>
          <cell r="AP17">
            <v>0</v>
          </cell>
          <cell r="AR17">
            <v>10</v>
          </cell>
          <cell r="AT17">
            <v>0</v>
          </cell>
        </row>
        <row r="18">
          <cell r="AI18">
            <v>10</v>
          </cell>
          <cell r="AJ18">
            <v>0</v>
          </cell>
          <cell r="AK18">
            <v>0</v>
          </cell>
          <cell r="AL18">
            <v>0</v>
          </cell>
          <cell r="AP18">
            <v>0</v>
          </cell>
          <cell r="AR18">
            <v>10</v>
          </cell>
          <cell r="AT18">
            <v>0</v>
          </cell>
        </row>
        <row r="19">
          <cell r="AI19">
            <v>10</v>
          </cell>
          <cell r="AJ19">
            <v>0</v>
          </cell>
          <cell r="AK19">
            <v>0</v>
          </cell>
          <cell r="AL19">
            <v>0</v>
          </cell>
          <cell r="AP19">
            <v>0</v>
          </cell>
          <cell r="AR19">
            <v>10</v>
          </cell>
          <cell r="AT19">
            <v>0</v>
          </cell>
        </row>
        <row r="20">
          <cell r="AI20">
            <v>10</v>
          </cell>
          <cell r="AJ20">
            <v>0</v>
          </cell>
          <cell r="AL20">
            <v>10</v>
          </cell>
          <cell r="AT20">
            <v>0</v>
          </cell>
        </row>
        <row r="21">
          <cell r="AI21">
            <v>5</v>
          </cell>
          <cell r="AJ21">
            <v>0</v>
          </cell>
          <cell r="AK21">
            <v>0</v>
          </cell>
          <cell r="AP21">
            <v>0</v>
          </cell>
          <cell r="AR21">
            <v>15</v>
          </cell>
          <cell r="AT21">
            <v>7.25</v>
          </cell>
        </row>
        <row r="22">
          <cell r="AI22">
            <v>5</v>
          </cell>
          <cell r="AJ22">
            <v>0</v>
          </cell>
          <cell r="AK22">
            <v>0</v>
          </cell>
          <cell r="AP22">
            <v>0</v>
          </cell>
          <cell r="AR22">
            <v>15</v>
          </cell>
          <cell r="AT22">
            <v>9.5</v>
          </cell>
        </row>
        <row r="23">
          <cell r="AI23">
            <v>5</v>
          </cell>
          <cell r="AJ23">
            <v>0</v>
          </cell>
          <cell r="AK23">
            <v>0</v>
          </cell>
          <cell r="AL23">
            <v>0</v>
          </cell>
          <cell r="AP23">
            <v>0</v>
          </cell>
          <cell r="AR23">
            <v>15</v>
          </cell>
          <cell r="AT23">
            <v>7.5</v>
          </cell>
        </row>
        <row r="24">
          <cell r="AI24">
            <v>10</v>
          </cell>
          <cell r="AK24">
            <v>0</v>
          </cell>
          <cell r="AL24">
            <v>0</v>
          </cell>
          <cell r="AP24">
            <v>0</v>
          </cell>
          <cell r="AR24">
            <v>10</v>
          </cell>
          <cell r="AT24">
            <v>0</v>
          </cell>
        </row>
      </sheetData>
      <sheetData sheetId="8"/>
      <sheetData sheetId="9"/>
      <sheetData sheetId="10"/>
      <sheetData sheetId="11">
        <row r="16">
          <cell r="BG16">
            <v>0</v>
          </cell>
          <cell r="BH16">
            <v>0</v>
          </cell>
        </row>
        <row r="17">
          <cell r="BE17">
            <v>0</v>
          </cell>
          <cell r="BG17">
            <v>4</v>
          </cell>
          <cell r="BH17">
            <v>0</v>
          </cell>
        </row>
        <row r="18">
          <cell r="BE18">
            <v>0</v>
          </cell>
          <cell r="BG18">
            <v>84</v>
          </cell>
          <cell r="BH18">
            <v>0</v>
          </cell>
        </row>
        <row r="19">
          <cell r="BG19">
            <v>0</v>
          </cell>
          <cell r="BH19">
            <v>0</v>
          </cell>
        </row>
        <row r="20">
          <cell r="BE20">
            <v>0</v>
          </cell>
          <cell r="BG20">
            <v>0</v>
          </cell>
          <cell r="BH20">
            <v>0</v>
          </cell>
        </row>
        <row r="21">
          <cell r="BE21">
            <v>0</v>
          </cell>
          <cell r="BH21">
            <v>0</v>
          </cell>
        </row>
        <row r="22">
          <cell r="BG22">
            <v>0</v>
          </cell>
          <cell r="BH22">
            <v>0</v>
          </cell>
        </row>
        <row r="23">
          <cell r="BE23">
            <v>0</v>
          </cell>
          <cell r="BG23">
            <v>0</v>
          </cell>
          <cell r="BH23">
            <v>0</v>
          </cell>
        </row>
        <row r="24">
          <cell r="BE24">
            <v>0</v>
          </cell>
          <cell r="BG24">
            <v>0</v>
          </cell>
          <cell r="BH24">
            <v>0</v>
          </cell>
        </row>
        <row r="28">
          <cell r="BH28">
            <v>0</v>
          </cell>
        </row>
        <row r="29">
          <cell r="BE29">
            <v>50</v>
          </cell>
          <cell r="BH29">
            <v>0</v>
          </cell>
        </row>
        <row r="30">
          <cell r="BE30">
            <v>0</v>
          </cell>
          <cell r="BG30">
            <v>0.5</v>
          </cell>
          <cell r="BH30">
            <v>0</v>
          </cell>
        </row>
        <row r="31">
          <cell r="BG31">
            <v>0</v>
          </cell>
          <cell r="BH31">
            <v>0</v>
          </cell>
        </row>
        <row r="32">
          <cell r="BE32">
            <v>0</v>
          </cell>
          <cell r="BG32">
            <v>0</v>
          </cell>
          <cell r="BH32">
            <v>0</v>
          </cell>
        </row>
        <row r="33">
          <cell r="BE33">
            <v>0</v>
          </cell>
          <cell r="BG33">
            <v>0</v>
          </cell>
          <cell r="BH33">
            <v>0</v>
          </cell>
        </row>
        <row r="34">
          <cell r="BG34">
            <v>0</v>
          </cell>
          <cell r="BH34">
            <v>0</v>
          </cell>
        </row>
        <row r="35">
          <cell r="BE35">
            <v>0</v>
          </cell>
          <cell r="BG35">
            <v>0</v>
          </cell>
          <cell r="BH35">
            <v>0</v>
          </cell>
        </row>
        <row r="36">
          <cell r="BE36">
            <v>0</v>
          </cell>
          <cell r="BH36">
            <v>0</v>
          </cell>
        </row>
        <row r="37">
          <cell r="BG37">
            <v>0</v>
          </cell>
          <cell r="BH37">
            <v>0</v>
          </cell>
        </row>
        <row r="38">
          <cell r="BE38">
            <v>80</v>
          </cell>
          <cell r="BG38">
            <v>16</v>
          </cell>
          <cell r="BH38">
            <v>0</v>
          </cell>
        </row>
        <row r="39">
          <cell r="BE39">
            <v>0</v>
          </cell>
          <cell r="BG39">
            <v>30</v>
          </cell>
          <cell r="BH39">
            <v>0</v>
          </cell>
        </row>
        <row r="40">
          <cell r="BG40">
            <v>0</v>
          </cell>
          <cell r="BH40">
            <v>0</v>
          </cell>
        </row>
        <row r="41">
          <cell r="BE41">
            <v>0</v>
          </cell>
          <cell r="BH41">
            <v>0</v>
          </cell>
        </row>
        <row r="42">
          <cell r="BE42">
            <v>60</v>
          </cell>
          <cell r="BG42">
            <v>1.8166666666666629</v>
          </cell>
          <cell r="BH42">
            <v>2.1833333333333371</v>
          </cell>
        </row>
        <row r="43">
          <cell r="BG43">
            <v>0</v>
          </cell>
          <cell r="BH43">
            <v>0</v>
          </cell>
        </row>
        <row r="44">
          <cell r="BE44">
            <v>0</v>
          </cell>
          <cell r="BG44">
            <v>0.90000000000000568</v>
          </cell>
          <cell r="BH44">
            <v>0</v>
          </cell>
        </row>
        <row r="45">
          <cell r="BE45">
            <v>70</v>
          </cell>
          <cell r="BG45">
            <v>6</v>
          </cell>
          <cell r="BH45">
            <v>0</v>
          </cell>
        </row>
        <row r="46">
          <cell r="BG46">
            <v>0</v>
          </cell>
          <cell r="BH46">
            <v>0</v>
          </cell>
        </row>
        <row r="47">
          <cell r="BE47">
            <v>0</v>
          </cell>
          <cell r="BG47">
            <v>0</v>
          </cell>
          <cell r="BH47">
            <v>0</v>
          </cell>
        </row>
        <row r="48">
          <cell r="BE48">
            <v>0</v>
          </cell>
          <cell r="BG48">
            <v>27.916666666666671</v>
          </cell>
          <cell r="BH48">
            <v>0</v>
          </cell>
        </row>
        <row r="53">
          <cell r="BE53">
            <v>0</v>
          </cell>
        </row>
        <row r="54">
          <cell r="BE54">
            <v>0</v>
          </cell>
          <cell r="BG54">
            <v>54</v>
          </cell>
        </row>
      </sheetData>
      <sheetData sheetId="12"/>
      <sheetData sheetId="13"/>
      <sheetData sheetId="14"/>
      <sheetData sheetId="15">
        <row r="9">
          <cell r="E9" t="str">
            <v>A</v>
          </cell>
        </row>
        <row r="10">
          <cell r="E10" t="str">
            <v>A</v>
          </cell>
        </row>
        <row r="11">
          <cell r="E11" t="str">
            <v>A</v>
          </cell>
        </row>
        <row r="12">
          <cell r="E12" t="str">
            <v>A</v>
          </cell>
        </row>
        <row r="13">
          <cell r="E13" t="str">
            <v>A</v>
          </cell>
        </row>
        <row r="15">
          <cell r="E15" t="str">
            <v>A</v>
          </cell>
        </row>
        <row r="16">
          <cell r="E16" t="str">
            <v>A</v>
          </cell>
        </row>
        <row r="17">
          <cell r="E17" t="str">
            <v>A</v>
          </cell>
        </row>
        <row r="18">
          <cell r="E18" t="str">
            <v>A</v>
          </cell>
        </row>
        <row r="21">
          <cell r="E21" t="str">
            <v>A</v>
          </cell>
        </row>
        <row r="22">
          <cell r="E22" t="str">
            <v>A</v>
          </cell>
        </row>
        <row r="23">
          <cell r="E23" t="str">
            <v>A</v>
          </cell>
        </row>
        <row r="24">
          <cell r="E24" t="str">
            <v>A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CCFF-8C2A-429C-89E6-8F0E65560C01}">
  <sheetPr>
    <pageSetUpPr fitToPage="1"/>
  </sheetPr>
  <dimension ref="A1:BW63"/>
  <sheetViews>
    <sheetView workbookViewId="0">
      <pane xSplit="2" ySplit="10" topLeftCell="AM17" activePane="bottomRight" state="frozen"/>
      <selection activeCell="BJ16" sqref="BJ16"/>
      <selection pane="topRight" activeCell="BJ16" sqref="BJ16"/>
      <selection pane="bottomLeft" activeCell="BJ16" sqref="BJ16"/>
      <selection pane="bottomRight" activeCell="BJ16" sqref="BJ16"/>
    </sheetView>
  </sheetViews>
  <sheetFormatPr defaultColWidth="5.7109375" defaultRowHeight="15.75" x14ac:dyDescent="0.25"/>
  <cols>
    <col min="1" max="1" width="4.28515625" style="53" customWidth="1"/>
    <col min="2" max="2" width="20" style="47" customWidth="1"/>
    <col min="3" max="3" width="9" style="47" customWidth="1"/>
    <col min="4" max="4" width="13.28515625" style="47" customWidth="1"/>
    <col min="5" max="5" width="10.28515625" style="47" customWidth="1"/>
    <col min="6" max="6" width="13.5703125" style="47" customWidth="1"/>
    <col min="7" max="7" width="13.42578125" style="47" customWidth="1"/>
    <col min="8" max="8" width="10.28515625" style="47" customWidth="1"/>
    <col min="9" max="9" width="7.42578125" style="54" customWidth="1"/>
    <col min="10" max="10" width="7.7109375" style="53" customWidth="1"/>
    <col min="11" max="11" width="7.28515625" style="53" customWidth="1"/>
    <col min="12" max="12" width="11.5703125" style="53" customWidth="1"/>
    <col min="13" max="13" width="9.85546875" style="53" hidden="1" customWidth="1"/>
    <col min="14" max="14" width="6" style="53" hidden="1" customWidth="1"/>
    <col min="15" max="15" width="7.42578125" style="53" hidden="1" customWidth="1"/>
    <col min="16" max="16" width="8.5703125" style="53" customWidth="1"/>
    <col min="17" max="18" width="16" style="53" hidden="1" customWidth="1"/>
    <col min="19" max="19" width="12.28515625" style="53" hidden="1" customWidth="1"/>
    <col min="20" max="20" width="7.140625" style="55" customWidth="1"/>
    <col min="21" max="21" width="10.5703125" style="55" hidden="1" customWidth="1"/>
    <col min="22" max="22" width="7.140625" style="55" customWidth="1"/>
    <col min="23" max="23" width="10.5703125" style="55" hidden="1" customWidth="1"/>
    <col min="24" max="24" width="7" style="55" customWidth="1"/>
    <col min="25" max="25" width="10.5703125" style="55" hidden="1" customWidth="1"/>
    <col min="26" max="26" width="5.28515625" style="55" customWidth="1"/>
    <col min="27" max="27" width="12.7109375" style="55" hidden="1" customWidth="1"/>
    <col min="28" max="28" width="5.85546875" style="55" customWidth="1"/>
    <col min="29" max="29" width="5.42578125" style="55" customWidth="1"/>
    <col min="30" max="30" width="11.7109375" style="47" customWidth="1"/>
    <col min="31" max="31" width="12.7109375" style="47" customWidth="1"/>
    <col min="32" max="32" width="11.140625" style="47" customWidth="1"/>
    <col min="33" max="33" width="16" style="47" hidden="1" customWidth="1"/>
    <col min="34" max="34" width="0.28515625" style="47" hidden="1" customWidth="1"/>
    <col min="35" max="35" width="10.5703125" style="47" customWidth="1"/>
    <col min="36" max="36" width="15.7109375" style="47" hidden="1" customWidth="1"/>
    <col min="37" max="37" width="11.85546875" style="47" customWidth="1"/>
    <col min="38" max="38" width="13" style="47" customWidth="1"/>
    <col min="39" max="39" width="9" style="47" customWidth="1"/>
    <col min="40" max="40" width="11.140625" style="47" customWidth="1"/>
    <col min="41" max="41" width="16" style="47" hidden="1" customWidth="1"/>
    <col min="42" max="42" width="11.42578125" style="47" hidden="1" customWidth="1"/>
    <col min="43" max="43" width="10.5703125" style="57" customWidth="1"/>
    <col min="44" max="44" width="16" style="47" hidden="1" customWidth="1"/>
    <col min="45" max="45" width="12" style="47" customWidth="1"/>
    <col min="46" max="46" width="10.28515625" style="47" hidden="1" customWidth="1"/>
    <col min="47" max="48" width="16" style="47" hidden="1" customWidth="1"/>
    <col min="49" max="49" width="13.28515625" style="53" customWidth="1"/>
    <col min="50" max="50" width="10.85546875" style="2" customWidth="1"/>
    <col min="51" max="51" width="10.5703125" style="2" customWidth="1"/>
    <col min="52" max="52" width="10" style="2" customWidth="1"/>
    <col min="53" max="53" width="10.28515625" style="2" customWidth="1"/>
    <col min="54" max="54" width="10" style="2" hidden="1" customWidth="1"/>
    <col min="55" max="55" width="12.28515625" style="2" hidden="1" customWidth="1"/>
    <col min="56" max="56" width="15" style="2" hidden="1" customWidth="1"/>
    <col min="57" max="57" width="10.85546875" style="2" hidden="1" customWidth="1"/>
    <col min="58" max="58" width="17.7109375" style="2" hidden="1" customWidth="1"/>
    <col min="59" max="59" width="11.7109375" style="2" hidden="1" customWidth="1"/>
    <col min="60" max="60" width="16.7109375" style="2" hidden="1" customWidth="1"/>
    <col min="61" max="61" width="10.85546875" style="2" hidden="1" customWidth="1"/>
    <col min="62" max="62" width="9.85546875" style="2" customWidth="1"/>
    <col min="63" max="63" width="14.28515625" style="2" hidden="1" customWidth="1"/>
    <col min="64" max="64" width="12.28515625" style="2" hidden="1" customWidth="1"/>
    <col min="65" max="65" width="11.85546875" style="2" hidden="1" customWidth="1"/>
    <col min="66" max="66" width="10.85546875" style="2" customWidth="1"/>
    <col min="67" max="67" width="8.140625" style="2" customWidth="1"/>
    <col min="68" max="68" width="10.85546875" style="2" hidden="1" customWidth="1"/>
    <col min="69" max="69" width="12.85546875" style="2" customWidth="1"/>
    <col min="70" max="70" width="10.42578125" style="2" customWidth="1"/>
    <col min="71" max="71" width="6.42578125" style="2" customWidth="1"/>
    <col min="72" max="72" width="13.7109375" style="2" customWidth="1"/>
    <col min="73" max="73" width="18.7109375" style="2" customWidth="1"/>
    <col min="74" max="16384" width="5.7109375" style="47"/>
  </cols>
  <sheetData>
    <row r="1" spans="1:73" x14ac:dyDescent="0.25">
      <c r="A1" s="5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40"/>
      <c r="U1" s="40"/>
      <c r="V1" s="40"/>
      <c r="W1" s="40"/>
      <c r="X1" s="40"/>
      <c r="Y1" s="40"/>
      <c r="Z1" s="40"/>
      <c r="AA1" s="40"/>
      <c r="AB1" s="40"/>
      <c r="AC1" s="40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11"/>
      <c r="AR1" s="1"/>
      <c r="AS1" s="1"/>
      <c r="AT1" s="1"/>
      <c r="AU1" s="1"/>
      <c r="AV1" s="5"/>
      <c r="AW1" s="1"/>
      <c r="BT1" s="13" t="s">
        <v>71</v>
      </c>
    </row>
    <row r="2" spans="1:73" x14ac:dyDescent="0.25">
      <c r="A2" s="12" t="s">
        <v>68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  <c r="R2" s="13"/>
      <c r="S2" s="13"/>
      <c r="T2" s="41"/>
      <c r="U2" s="41"/>
      <c r="V2" s="41"/>
      <c r="W2" s="41"/>
      <c r="X2" s="41"/>
      <c r="Y2" s="41"/>
      <c r="Z2" s="41"/>
      <c r="AA2" s="41"/>
      <c r="AB2" s="41"/>
      <c r="AC2" s="41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3"/>
      <c r="AR2" s="13"/>
      <c r="AS2" s="13"/>
      <c r="AT2" s="13"/>
      <c r="AU2" s="13"/>
      <c r="AV2" s="5"/>
      <c r="AW2" s="1"/>
    </row>
    <row r="3" spans="1:73" s="71" customFormat="1" ht="60.75" customHeight="1" x14ac:dyDescent="0.3">
      <c r="A3" s="411" t="s">
        <v>112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0"/>
      <c r="AY3" s="60"/>
      <c r="AZ3" s="60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72"/>
      <c r="BT3" s="72"/>
      <c r="BU3" s="72"/>
    </row>
    <row r="4" spans="1:73" ht="17.850000000000001" customHeight="1" x14ac:dyDescent="0.25">
      <c r="A4" s="384" t="s">
        <v>69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T4" s="13"/>
    </row>
    <row r="5" spans="1:73" ht="17.850000000000001" customHeight="1" x14ac:dyDescent="0.25">
      <c r="A5" s="1">
        <v>22</v>
      </c>
      <c r="B5" s="86">
        <v>1</v>
      </c>
      <c r="C5" s="6">
        <v>1</v>
      </c>
      <c r="D5" s="7"/>
      <c r="E5" s="7"/>
      <c r="F5" s="7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8"/>
      <c r="U5" s="8"/>
      <c r="V5" s="8"/>
      <c r="W5" s="8"/>
      <c r="X5" s="8"/>
      <c r="Y5" s="8"/>
      <c r="Z5" s="8"/>
      <c r="AA5" s="8"/>
      <c r="AB5" s="8"/>
      <c r="AC5" s="8"/>
      <c r="AD5" s="9"/>
      <c r="AE5" s="9"/>
      <c r="AF5" s="9"/>
      <c r="AG5" s="9">
        <v>0.6</v>
      </c>
      <c r="AH5" s="9"/>
      <c r="AI5" s="9"/>
      <c r="AJ5" s="9"/>
      <c r="AK5" s="9"/>
      <c r="AL5" s="9"/>
      <c r="AM5" s="5"/>
      <c r="AN5" s="5"/>
      <c r="AO5" s="5"/>
      <c r="AP5" s="5"/>
      <c r="AQ5" s="11"/>
      <c r="AR5" s="5"/>
      <c r="AS5" s="5"/>
      <c r="AT5" s="5"/>
      <c r="AU5" s="5"/>
      <c r="AV5" s="5"/>
      <c r="AW5" s="1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39">
        <v>33000</v>
      </c>
      <c r="BU5" s="5"/>
    </row>
    <row r="6" spans="1:73" s="155" customFormat="1" ht="19.350000000000001" customHeight="1" x14ac:dyDescent="0.25">
      <c r="A6" s="415" t="s">
        <v>0</v>
      </c>
      <c r="B6" s="415" t="s">
        <v>1</v>
      </c>
      <c r="C6" s="415" t="s">
        <v>2</v>
      </c>
      <c r="D6" s="415" t="s">
        <v>3</v>
      </c>
      <c r="E6" s="415" t="s">
        <v>4</v>
      </c>
      <c r="F6" s="415" t="s">
        <v>73</v>
      </c>
      <c r="G6" s="436" t="s">
        <v>113</v>
      </c>
      <c r="H6" s="437"/>
      <c r="I6" s="415" t="s">
        <v>5</v>
      </c>
      <c r="J6" s="436" t="s">
        <v>6</v>
      </c>
      <c r="K6" s="440"/>
      <c r="L6" s="440"/>
      <c r="M6" s="440"/>
      <c r="N6" s="440"/>
      <c r="O6" s="440"/>
      <c r="P6" s="440"/>
      <c r="Q6" s="437"/>
      <c r="R6" s="442" t="s">
        <v>7</v>
      </c>
      <c r="S6" s="443"/>
      <c r="T6" s="446" t="s">
        <v>114</v>
      </c>
      <c r="U6" s="447"/>
      <c r="V6" s="447"/>
      <c r="W6" s="447"/>
      <c r="X6" s="447"/>
      <c r="Y6" s="447"/>
      <c r="Z6" s="447"/>
      <c r="AA6" s="447"/>
      <c r="AB6" s="447"/>
      <c r="AC6" s="447"/>
      <c r="AD6" s="425" t="s">
        <v>99</v>
      </c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6"/>
      <c r="AW6" s="412" t="s">
        <v>70</v>
      </c>
      <c r="AX6" s="383" t="s">
        <v>30</v>
      </c>
      <c r="AY6" s="383"/>
      <c r="AZ6" s="383"/>
      <c r="BA6" s="383"/>
      <c r="BB6" s="383"/>
      <c r="BC6" s="383"/>
      <c r="BD6" s="383"/>
      <c r="BE6" s="383"/>
      <c r="BF6" s="383"/>
      <c r="BG6" s="383"/>
      <c r="BH6" s="383"/>
      <c r="BI6" s="383"/>
      <c r="BJ6" s="383"/>
      <c r="BK6" s="383"/>
      <c r="BL6" s="383"/>
      <c r="BM6" s="383"/>
      <c r="BN6" s="383"/>
      <c r="BO6" s="374" t="s">
        <v>98</v>
      </c>
      <c r="BP6" s="374" t="s">
        <v>31</v>
      </c>
      <c r="BQ6" s="377" t="s">
        <v>32</v>
      </c>
      <c r="BR6" s="374" t="s">
        <v>51</v>
      </c>
      <c r="BS6" s="377" t="s">
        <v>33</v>
      </c>
      <c r="BT6" s="374" t="s">
        <v>34</v>
      </c>
      <c r="BU6" s="377" t="s">
        <v>35</v>
      </c>
    </row>
    <row r="7" spans="1:73" s="155" customFormat="1" ht="22.35" customHeight="1" x14ac:dyDescent="0.25">
      <c r="A7" s="435"/>
      <c r="B7" s="435"/>
      <c r="C7" s="435"/>
      <c r="D7" s="435"/>
      <c r="E7" s="435"/>
      <c r="F7" s="435"/>
      <c r="G7" s="438"/>
      <c r="H7" s="439"/>
      <c r="I7" s="435"/>
      <c r="J7" s="438"/>
      <c r="K7" s="441"/>
      <c r="L7" s="441"/>
      <c r="M7" s="441"/>
      <c r="N7" s="441"/>
      <c r="O7" s="441"/>
      <c r="P7" s="441"/>
      <c r="Q7" s="439"/>
      <c r="R7" s="444"/>
      <c r="S7" s="445"/>
      <c r="T7" s="421" t="s">
        <v>115</v>
      </c>
      <c r="U7" s="428"/>
      <c r="V7" s="428"/>
      <c r="W7" s="422"/>
      <c r="X7" s="421" t="s">
        <v>120</v>
      </c>
      <c r="Y7" s="428"/>
      <c r="Z7" s="428"/>
      <c r="AA7" s="428"/>
      <c r="AB7" s="428"/>
      <c r="AC7" s="422"/>
      <c r="AD7" s="429" t="s">
        <v>75</v>
      </c>
      <c r="AE7" s="430"/>
      <c r="AF7" s="430"/>
      <c r="AG7" s="430"/>
      <c r="AH7" s="430"/>
      <c r="AI7" s="430"/>
      <c r="AJ7" s="430"/>
      <c r="AK7" s="430"/>
      <c r="AL7" s="430"/>
      <c r="AM7" s="430"/>
      <c r="AN7" s="431"/>
      <c r="AO7" s="156"/>
      <c r="AP7" s="432" t="s">
        <v>94</v>
      </c>
      <c r="AQ7" s="396" t="s">
        <v>85</v>
      </c>
      <c r="AR7" s="397"/>
      <c r="AS7" s="397"/>
      <c r="AT7" s="397"/>
      <c r="AU7" s="397"/>
      <c r="AV7" s="398"/>
      <c r="AW7" s="413"/>
      <c r="AX7" s="380" t="s">
        <v>97</v>
      </c>
      <c r="AY7" s="380" t="s">
        <v>36</v>
      </c>
      <c r="AZ7" s="380" t="s">
        <v>37</v>
      </c>
      <c r="BA7" s="380" t="s">
        <v>38</v>
      </c>
      <c r="BB7" s="380" t="s">
        <v>66</v>
      </c>
      <c r="BC7" s="380" t="s">
        <v>67</v>
      </c>
      <c r="BD7" s="380" t="s">
        <v>63</v>
      </c>
      <c r="BE7" s="380" t="s">
        <v>39</v>
      </c>
      <c r="BF7" s="380" t="s">
        <v>61</v>
      </c>
      <c r="BG7" s="380" t="s">
        <v>40</v>
      </c>
      <c r="BH7" s="380" t="s">
        <v>41</v>
      </c>
      <c r="BI7" s="380" t="s">
        <v>90</v>
      </c>
      <c r="BJ7" s="380" t="s">
        <v>42</v>
      </c>
      <c r="BK7" s="380" t="s">
        <v>43</v>
      </c>
      <c r="BL7" s="380" t="s">
        <v>110</v>
      </c>
      <c r="BM7" s="380" t="s">
        <v>111</v>
      </c>
      <c r="BN7" s="380" t="s">
        <v>44</v>
      </c>
      <c r="BO7" s="375"/>
      <c r="BP7" s="375"/>
      <c r="BQ7" s="378"/>
      <c r="BR7" s="375"/>
      <c r="BS7" s="378"/>
      <c r="BT7" s="375"/>
      <c r="BU7" s="378"/>
    </row>
    <row r="8" spans="1:73" s="155" customFormat="1" ht="40.9" customHeight="1" x14ac:dyDescent="0.25">
      <c r="A8" s="435"/>
      <c r="B8" s="435"/>
      <c r="C8" s="435"/>
      <c r="D8" s="435"/>
      <c r="E8" s="435"/>
      <c r="F8" s="435"/>
      <c r="G8" s="415" t="s">
        <v>18</v>
      </c>
      <c r="H8" s="415" t="s">
        <v>19</v>
      </c>
      <c r="I8" s="435"/>
      <c r="J8" s="415" t="s">
        <v>14</v>
      </c>
      <c r="K8" s="415" t="s">
        <v>76</v>
      </c>
      <c r="L8" s="419" t="s">
        <v>95</v>
      </c>
      <c r="M8" s="417" t="s">
        <v>91</v>
      </c>
      <c r="N8" s="415" t="s">
        <v>77</v>
      </c>
      <c r="O8" s="417" t="s">
        <v>86</v>
      </c>
      <c r="P8" s="390" t="s">
        <v>87</v>
      </c>
      <c r="Q8" s="391"/>
      <c r="R8" s="415" t="s">
        <v>17</v>
      </c>
      <c r="S8" s="417" t="s">
        <v>84</v>
      </c>
      <c r="T8" s="421" t="s">
        <v>49</v>
      </c>
      <c r="U8" s="422"/>
      <c r="V8" s="421" t="s">
        <v>50</v>
      </c>
      <c r="W8" s="422"/>
      <c r="X8" s="421" t="s">
        <v>64</v>
      </c>
      <c r="Y8" s="422"/>
      <c r="Z8" s="421" t="s">
        <v>49</v>
      </c>
      <c r="AA8" s="422"/>
      <c r="AB8" s="421" t="s">
        <v>50</v>
      </c>
      <c r="AC8" s="422"/>
      <c r="AD8" s="415" t="s">
        <v>8</v>
      </c>
      <c r="AE8" s="392" t="s">
        <v>52</v>
      </c>
      <c r="AF8" s="412" t="s">
        <v>9</v>
      </c>
      <c r="AG8" s="412" t="s">
        <v>92</v>
      </c>
      <c r="AH8" s="412" t="s">
        <v>93</v>
      </c>
      <c r="AI8" s="394" t="s">
        <v>78</v>
      </c>
      <c r="AJ8" s="412" t="s">
        <v>79</v>
      </c>
      <c r="AK8" s="433" t="s">
        <v>65</v>
      </c>
      <c r="AL8" s="421" t="s">
        <v>116</v>
      </c>
      <c r="AM8" s="422"/>
      <c r="AN8" s="425" t="s">
        <v>117</v>
      </c>
      <c r="AO8" s="426"/>
      <c r="AP8" s="432"/>
      <c r="AQ8" s="423" t="s">
        <v>80</v>
      </c>
      <c r="AR8" s="423" t="s">
        <v>81</v>
      </c>
      <c r="AS8" s="423" t="s">
        <v>118</v>
      </c>
      <c r="AT8" s="423" t="s">
        <v>119</v>
      </c>
      <c r="AU8" s="423" t="s">
        <v>82</v>
      </c>
      <c r="AV8" s="423" t="s">
        <v>83</v>
      </c>
      <c r="AW8" s="413"/>
      <c r="AX8" s="381"/>
      <c r="AY8" s="381"/>
      <c r="AZ8" s="381"/>
      <c r="BA8" s="381"/>
      <c r="BB8" s="381"/>
      <c r="BC8" s="381"/>
      <c r="BD8" s="381"/>
      <c r="BE8" s="381"/>
      <c r="BF8" s="381"/>
      <c r="BG8" s="381"/>
      <c r="BH8" s="381"/>
      <c r="BI8" s="381"/>
      <c r="BJ8" s="381"/>
      <c r="BK8" s="381"/>
      <c r="BL8" s="381"/>
      <c r="BM8" s="381"/>
      <c r="BN8" s="381"/>
      <c r="BO8" s="375"/>
      <c r="BP8" s="375"/>
      <c r="BQ8" s="378"/>
      <c r="BR8" s="375"/>
      <c r="BS8" s="378"/>
      <c r="BT8" s="375"/>
      <c r="BU8" s="378"/>
    </row>
    <row r="9" spans="1:73" s="155" customFormat="1" ht="40.9" customHeight="1" x14ac:dyDescent="0.25">
      <c r="A9" s="416"/>
      <c r="B9" s="416" t="s">
        <v>13</v>
      </c>
      <c r="C9" s="416" t="s">
        <v>13</v>
      </c>
      <c r="D9" s="416"/>
      <c r="E9" s="416"/>
      <c r="F9" s="416"/>
      <c r="G9" s="416"/>
      <c r="H9" s="416"/>
      <c r="I9" s="416"/>
      <c r="J9" s="416"/>
      <c r="K9" s="416"/>
      <c r="L9" s="420"/>
      <c r="M9" s="418"/>
      <c r="N9" s="416"/>
      <c r="O9" s="418"/>
      <c r="P9" s="162" t="s">
        <v>120</v>
      </c>
      <c r="Q9" s="158" t="s">
        <v>96</v>
      </c>
      <c r="R9" s="416"/>
      <c r="S9" s="418"/>
      <c r="T9" s="161" t="s">
        <v>15</v>
      </c>
      <c r="U9" s="161" t="s">
        <v>16</v>
      </c>
      <c r="V9" s="161" t="s">
        <v>15</v>
      </c>
      <c r="W9" s="161" t="s">
        <v>16</v>
      </c>
      <c r="X9" s="161" t="s">
        <v>15</v>
      </c>
      <c r="Y9" s="161" t="s">
        <v>16</v>
      </c>
      <c r="Z9" s="161" t="s">
        <v>15</v>
      </c>
      <c r="AA9" s="161" t="s">
        <v>16</v>
      </c>
      <c r="AB9" s="161" t="s">
        <v>15</v>
      </c>
      <c r="AC9" s="161" t="s">
        <v>16</v>
      </c>
      <c r="AD9" s="416"/>
      <c r="AE9" s="393"/>
      <c r="AF9" s="414"/>
      <c r="AG9" s="414"/>
      <c r="AH9" s="414"/>
      <c r="AI9" s="395"/>
      <c r="AJ9" s="414"/>
      <c r="AK9" s="434"/>
      <c r="AL9" s="157" t="s">
        <v>15</v>
      </c>
      <c r="AM9" s="157" t="s">
        <v>16</v>
      </c>
      <c r="AN9" s="157" t="s">
        <v>15</v>
      </c>
      <c r="AO9" s="157" t="s">
        <v>16</v>
      </c>
      <c r="AP9" s="432"/>
      <c r="AQ9" s="424"/>
      <c r="AR9" s="424"/>
      <c r="AS9" s="424"/>
      <c r="AT9" s="424"/>
      <c r="AU9" s="424"/>
      <c r="AV9" s="424"/>
      <c r="AW9" s="414"/>
      <c r="AX9" s="382"/>
      <c r="AY9" s="382"/>
      <c r="AZ9" s="382"/>
      <c r="BA9" s="382"/>
      <c r="BB9" s="382"/>
      <c r="BC9" s="382"/>
      <c r="BD9" s="382"/>
      <c r="BE9" s="382"/>
      <c r="BF9" s="382"/>
      <c r="BG9" s="382"/>
      <c r="BH9" s="382"/>
      <c r="BI9" s="382"/>
      <c r="BJ9" s="382"/>
      <c r="BK9" s="382"/>
      <c r="BL9" s="382"/>
      <c r="BM9" s="382"/>
      <c r="BN9" s="382"/>
      <c r="BO9" s="376"/>
      <c r="BP9" s="376"/>
      <c r="BQ9" s="379"/>
      <c r="BR9" s="376"/>
      <c r="BS9" s="379"/>
      <c r="BT9" s="376"/>
      <c r="BU9" s="379"/>
    </row>
    <row r="10" spans="1:73" s="89" customFormat="1" ht="18" customHeight="1" x14ac:dyDescent="0.25">
      <c r="A10" s="76" t="s">
        <v>100</v>
      </c>
      <c r="B10" s="87" t="s">
        <v>101</v>
      </c>
      <c r="C10" s="87" t="s">
        <v>102</v>
      </c>
      <c r="D10" s="90">
        <v>-1</v>
      </c>
      <c r="E10" s="91">
        <v>-2</v>
      </c>
      <c r="F10" s="92" t="s">
        <v>106</v>
      </c>
      <c r="G10" s="93">
        <v>-4</v>
      </c>
      <c r="H10" s="90">
        <v>-5</v>
      </c>
      <c r="I10" s="90">
        <v>-6</v>
      </c>
      <c r="J10" s="90">
        <v>-7</v>
      </c>
      <c r="K10" s="90">
        <v>-8</v>
      </c>
      <c r="L10" s="90">
        <v>-9</v>
      </c>
      <c r="M10" s="90">
        <v>-7</v>
      </c>
      <c r="N10" s="90">
        <v>-9</v>
      </c>
      <c r="O10" s="90"/>
      <c r="P10" s="90">
        <v>-10</v>
      </c>
      <c r="Q10" s="90"/>
      <c r="R10" s="90"/>
      <c r="S10" s="90"/>
      <c r="T10" s="90">
        <v>-11</v>
      </c>
      <c r="U10" s="94"/>
      <c r="V10" s="90">
        <v>-12</v>
      </c>
      <c r="W10" s="94"/>
      <c r="X10" s="90">
        <v>-13</v>
      </c>
      <c r="Y10" s="94"/>
      <c r="Z10" s="90">
        <v>-14</v>
      </c>
      <c r="AA10" s="94"/>
      <c r="AB10" s="90">
        <v>-15</v>
      </c>
      <c r="AC10" s="90">
        <v>-16</v>
      </c>
      <c r="AD10" s="95">
        <v>-17</v>
      </c>
      <c r="AE10" s="90">
        <v>-18</v>
      </c>
      <c r="AF10" s="90">
        <v>-19</v>
      </c>
      <c r="AG10" s="90">
        <v>-10</v>
      </c>
      <c r="AH10" s="90">
        <v>-10</v>
      </c>
      <c r="AI10" s="90">
        <v>-19</v>
      </c>
      <c r="AJ10" s="90">
        <v>-20</v>
      </c>
      <c r="AK10" s="90">
        <v>-21</v>
      </c>
      <c r="AL10" s="90">
        <v>-22</v>
      </c>
      <c r="AM10" s="90">
        <v>-23</v>
      </c>
      <c r="AN10" s="90">
        <v>-24</v>
      </c>
      <c r="AO10" s="90">
        <v>-10</v>
      </c>
      <c r="AP10" s="90"/>
      <c r="AQ10" s="90">
        <v>-25</v>
      </c>
      <c r="AR10" s="90">
        <v>-10</v>
      </c>
      <c r="AS10" s="90">
        <v>-26</v>
      </c>
      <c r="AT10" s="90">
        <v>-27</v>
      </c>
      <c r="AU10" s="90">
        <v>-10</v>
      </c>
      <c r="AV10" s="90">
        <v>-10</v>
      </c>
      <c r="AW10" s="88" t="s">
        <v>121</v>
      </c>
      <c r="AX10" s="96">
        <v>-21</v>
      </c>
      <c r="AY10" s="96">
        <v>-22</v>
      </c>
      <c r="AZ10" s="96">
        <v>-23</v>
      </c>
      <c r="BA10" s="96">
        <v>-24</v>
      </c>
      <c r="BB10" s="96"/>
      <c r="BC10" s="96"/>
      <c r="BD10" s="96"/>
      <c r="BE10" s="96"/>
      <c r="BF10" s="96"/>
      <c r="BG10" s="96"/>
      <c r="BH10" s="96"/>
      <c r="BI10" s="96"/>
      <c r="BJ10" s="96">
        <v>-25</v>
      </c>
      <c r="BK10" s="96"/>
      <c r="BL10" s="96">
        <v>-26</v>
      </c>
      <c r="BM10" s="97"/>
      <c r="BN10" s="97" t="s">
        <v>103</v>
      </c>
      <c r="BO10" s="98">
        <v>28</v>
      </c>
      <c r="BP10" s="97"/>
      <c r="BQ10" s="97" t="s">
        <v>104</v>
      </c>
      <c r="BR10" s="97">
        <v>30</v>
      </c>
      <c r="BS10" s="97">
        <v>31</v>
      </c>
      <c r="BT10" s="97">
        <v>32</v>
      </c>
      <c r="BU10" s="97" t="s">
        <v>105</v>
      </c>
    </row>
    <row r="11" spans="1:73" s="48" customFormat="1" ht="48" customHeight="1" x14ac:dyDescent="0.25">
      <c r="A11" s="77">
        <v>1</v>
      </c>
      <c r="B11" s="78" t="s">
        <v>20</v>
      </c>
      <c r="C11" s="62" t="s">
        <v>47</v>
      </c>
      <c r="D11" s="99">
        <v>17580000</v>
      </c>
      <c r="E11" s="100"/>
      <c r="F11" s="18">
        <v>6500000</v>
      </c>
      <c r="G11" s="19">
        <v>9930000</v>
      </c>
      <c r="H11" s="19"/>
      <c r="I11" s="101" t="s">
        <v>21</v>
      </c>
      <c r="J11" s="102">
        <v>21</v>
      </c>
      <c r="K11" s="102">
        <v>1</v>
      </c>
      <c r="L11" s="102">
        <v>0</v>
      </c>
      <c r="M11" s="102">
        <v>0</v>
      </c>
      <c r="N11" s="102"/>
      <c r="O11" s="102">
        <v>0</v>
      </c>
      <c r="P11" s="103">
        <v>0</v>
      </c>
      <c r="Q11" s="103"/>
      <c r="R11" s="103"/>
      <c r="S11" s="103">
        <v>0</v>
      </c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1">
        <f>ROUND(F11*(J11+K11+M11)/$A$5,-3)</f>
        <v>6500000</v>
      </c>
      <c r="AE11" s="105">
        <f>ROUND(IF(I11="A",(D11-F11)*(J11+K11+M11)/$A$5,IF(I11="B",(D11-F11)*0.5*(J11+K11+M11)/$A$5,IF(I11="C",0))),-3)</f>
        <v>11080000</v>
      </c>
      <c r="AF11" s="106"/>
      <c r="AG11" s="106"/>
      <c r="AH11" s="106"/>
      <c r="AI11" s="106">
        <f>ROUND(G11*(L11)/$A$5,-3)</f>
        <v>0</v>
      </c>
      <c r="AJ11" s="106">
        <f>ROUND(G11*N11/$A$5*85%,-3)</f>
        <v>0</v>
      </c>
      <c r="AK11" s="100">
        <f t="shared" ref="AK11:AK16" si="0">ROUND(P11*316000,-3)</f>
        <v>0</v>
      </c>
      <c r="AL11" s="107">
        <f t="shared" ref="AL11:AL22" si="1">ROUND((X11*43000+Z11*43000+AB11*43000),-3)</f>
        <v>0</v>
      </c>
      <c r="AM11" s="107">
        <f t="shared" ref="AM11:AM22" si="2">ROUND((AC11*54000+AA11*54000+Y11*57000),-3)</f>
        <v>0</v>
      </c>
      <c r="AN11" s="107">
        <f t="shared" ref="AN11:AN22" si="3">ROUND((T11*43000+V11*43000),-3)</f>
        <v>0</v>
      </c>
      <c r="AO11" s="108">
        <f t="shared" ref="AO11:AO27" si="4">ROUND((U11*48600+W11*52000),-3)</f>
        <v>0</v>
      </c>
      <c r="AP11" s="108"/>
      <c r="AQ11" s="109"/>
      <c r="AR11" s="100"/>
      <c r="AS11" s="100">
        <v>1009000</v>
      </c>
      <c r="AT11" s="100"/>
      <c r="AU11" s="100"/>
      <c r="AV11" s="100"/>
      <c r="AW11" s="110">
        <f>ROUND(SUM(AD11:AU11)-AV11,-3)</f>
        <v>18589000</v>
      </c>
      <c r="AX11" s="67">
        <f>ROUND(IF((AW11-AY11-AZ11-BA11)*0.5%&lt;234000,(AW11-AY11-AZ11-BA11)*0.5%,234000),-3)</f>
        <v>88000</v>
      </c>
      <c r="AY11" s="73">
        <v>722400</v>
      </c>
      <c r="AZ11" s="73">
        <v>135450</v>
      </c>
      <c r="BA11" s="73">
        <v>90300</v>
      </c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4">
        <f>SUM(AX11:BM11)</f>
        <v>1036150</v>
      </c>
      <c r="BO11" s="73"/>
      <c r="BP11" s="73"/>
      <c r="BQ11" s="74">
        <f>(AW11-BN11+BO11+BP11)</f>
        <v>17552850</v>
      </c>
      <c r="BR11" s="73">
        <v>100000</v>
      </c>
      <c r="BS11" s="73">
        <v>21</v>
      </c>
      <c r="BT11" s="73">
        <f>BS11*$BT$5</f>
        <v>693000</v>
      </c>
      <c r="BU11" s="74">
        <f>BQ11+BT11+BR11</f>
        <v>18345850</v>
      </c>
    </row>
    <row r="12" spans="1:73" s="49" customFormat="1" ht="48" customHeight="1" x14ac:dyDescent="0.25">
      <c r="A12" s="35">
        <v>2</v>
      </c>
      <c r="B12" s="63" t="s">
        <v>23</v>
      </c>
      <c r="C12" s="75" t="s">
        <v>88</v>
      </c>
      <c r="D12" s="111">
        <v>15440000</v>
      </c>
      <c r="E12" s="21">
        <v>525000</v>
      </c>
      <c r="F12" s="20">
        <v>6500000</v>
      </c>
      <c r="G12" s="21">
        <v>7510000</v>
      </c>
      <c r="H12" s="21">
        <v>525000</v>
      </c>
      <c r="I12" s="112" t="s">
        <v>21</v>
      </c>
      <c r="J12" s="113">
        <v>21</v>
      </c>
      <c r="K12" s="113">
        <v>1</v>
      </c>
      <c r="L12" s="114">
        <v>0</v>
      </c>
      <c r="M12" s="113">
        <v>0</v>
      </c>
      <c r="N12" s="113"/>
      <c r="O12" s="113">
        <v>0</v>
      </c>
      <c r="P12" s="115">
        <v>0</v>
      </c>
      <c r="Q12" s="115"/>
      <c r="R12" s="115"/>
      <c r="S12" s="115">
        <v>0</v>
      </c>
      <c r="T12" s="116">
        <v>100</v>
      </c>
      <c r="U12" s="116">
        <v>0</v>
      </c>
      <c r="V12" s="116">
        <v>0</v>
      </c>
      <c r="W12" s="116"/>
      <c r="X12" s="116">
        <v>0</v>
      </c>
      <c r="Y12" s="116">
        <v>0</v>
      </c>
      <c r="Z12" s="116">
        <v>25.566666666666663</v>
      </c>
      <c r="AA12" s="116">
        <v>0</v>
      </c>
      <c r="AB12" s="116">
        <v>21.5</v>
      </c>
      <c r="AC12" s="116">
        <v>0</v>
      </c>
      <c r="AD12" s="112">
        <f>ROUND(F12*(J12)/$A$5*$B$5,-3)</f>
        <v>6205000</v>
      </c>
      <c r="AE12" s="117">
        <f>ROUND(IF(I12="A",(D12-F12-4500000)*(J12)/$A$5*$B$5,IF(I12="B",(D12-F12-4500000)*0.5*(J12)/$A$5*$B$5,IF(I12="C",0))),-3)</f>
        <v>4238000</v>
      </c>
      <c r="AF12" s="118">
        <f>ROUND(G12*(K12)/$A$5,-3)</f>
        <v>341000</v>
      </c>
      <c r="AG12" s="118"/>
      <c r="AH12" s="118">
        <f t="shared" ref="AH12:AH26" si="5">ROUND((D12)*M12/$A$5,-3)</f>
        <v>0</v>
      </c>
      <c r="AI12" s="118">
        <f>ROUND(G12*(L12)/$A$5,-3)</f>
        <v>0</v>
      </c>
      <c r="AJ12" s="118">
        <f>ROUND(G12*N12/$A$5*85%,-3)</f>
        <v>0</v>
      </c>
      <c r="AK12" s="119">
        <f t="shared" si="0"/>
        <v>0</v>
      </c>
      <c r="AL12" s="107">
        <f t="shared" si="1"/>
        <v>2024000</v>
      </c>
      <c r="AM12" s="107">
        <f t="shared" si="2"/>
        <v>0</v>
      </c>
      <c r="AN12" s="107">
        <f t="shared" si="3"/>
        <v>4300000</v>
      </c>
      <c r="AO12" s="107">
        <f t="shared" si="4"/>
        <v>0</v>
      </c>
      <c r="AP12" s="120">
        <f>ROUND((IF(I12="A",0,IF(I12="B",-(1330000)*50%,IF(I12="C",-(1330000)*100%))))*(J12)/$A$5,-3)</f>
        <v>0</v>
      </c>
      <c r="AQ12" s="118">
        <v>525000</v>
      </c>
      <c r="AR12" s="118"/>
      <c r="AS12" s="119"/>
      <c r="AT12" s="119"/>
      <c r="AU12" s="119"/>
      <c r="AV12" s="119"/>
      <c r="AW12" s="121">
        <f>ROUND(SUM(AD12:AU12)-AV12,-3)</f>
        <v>17633000</v>
      </c>
      <c r="AX12" s="67">
        <f t="shared" ref="AX12:AX27" si="6">ROUND(IF((AW12-AY12-AZ12-BA12)*0.5%&lt;234000,(AW12-AY12-AZ12-BA12)*0.5%,234000),-3)</f>
        <v>84000</v>
      </c>
      <c r="AY12" s="73">
        <v>588400</v>
      </c>
      <c r="AZ12" s="73">
        <v>110325</v>
      </c>
      <c r="BA12" s="73">
        <v>73550</v>
      </c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4">
        <f>SUM(AX12:BM12)</f>
        <v>856275</v>
      </c>
      <c r="BO12" s="73"/>
      <c r="BP12" s="73"/>
      <c r="BQ12" s="74">
        <f t="shared" ref="BQ12:BQ27" si="7">(AW12-BN12+BO12+BP12)</f>
        <v>16776725</v>
      </c>
      <c r="BR12" s="73">
        <v>100000</v>
      </c>
      <c r="BS12" s="73">
        <v>21</v>
      </c>
      <c r="BT12" s="73">
        <f t="shared" ref="BT12:BT27" si="8">BS12*$BT$5</f>
        <v>693000</v>
      </c>
      <c r="BU12" s="74">
        <f t="shared" ref="BU12:BU27" si="9">BQ12+BT12+BR12</f>
        <v>17569725</v>
      </c>
    </row>
    <row r="13" spans="1:73" s="49" customFormat="1" ht="48" customHeight="1" x14ac:dyDescent="0.25">
      <c r="A13" s="35">
        <v>3</v>
      </c>
      <c r="B13" s="63" t="s">
        <v>25</v>
      </c>
      <c r="C13" s="65" t="s">
        <v>24</v>
      </c>
      <c r="D13" s="111">
        <v>15440000</v>
      </c>
      <c r="E13" s="21"/>
      <c r="F13" s="20">
        <v>6500000</v>
      </c>
      <c r="G13" s="21">
        <v>7510000</v>
      </c>
      <c r="H13" s="21"/>
      <c r="I13" s="112" t="s">
        <v>21</v>
      </c>
      <c r="J13" s="113">
        <v>21</v>
      </c>
      <c r="K13" s="113">
        <v>1</v>
      </c>
      <c r="L13" s="113">
        <v>0</v>
      </c>
      <c r="M13" s="113">
        <v>0</v>
      </c>
      <c r="N13" s="113"/>
      <c r="O13" s="113">
        <v>0</v>
      </c>
      <c r="P13" s="122">
        <v>29</v>
      </c>
      <c r="Q13" s="115"/>
      <c r="R13" s="115"/>
      <c r="S13" s="115">
        <v>0</v>
      </c>
      <c r="T13" s="118">
        <v>100</v>
      </c>
      <c r="U13" s="118">
        <v>0</v>
      </c>
      <c r="V13" s="118">
        <v>0</v>
      </c>
      <c r="W13" s="118"/>
      <c r="X13" s="118">
        <v>0</v>
      </c>
      <c r="Y13" s="118">
        <v>0</v>
      </c>
      <c r="Z13" s="118">
        <v>-12.433333333333337</v>
      </c>
      <c r="AA13" s="118">
        <v>0</v>
      </c>
      <c r="AB13" s="118">
        <v>120.5</v>
      </c>
      <c r="AC13" s="118">
        <v>0</v>
      </c>
      <c r="AD13" s="112">
        <f>ROUND(F13*(J13)/$A$5*$B$5,-3)</f>
        <v>6205000</v>
      </c>
      <c r="AE13" s="117">
        <f>ROUND(IF(I13="A",(D13-F13-4500000)*(J13)/$A$5*$B$5,IF(I13="B",(D13-F13-4500000)*0.5*(J13)/$A$5*$B$5,IF(I13="C",0))),-3)</f>
        <v>4238000</v>
      </c>
      <c r="AF13" s="118">
        <f>ROUND(G13*(K13)/$A$5,-3)</f>
        <v>341000</v>
      </c>
      <c r="AG13" s="118"/>
      <c r="AH13" s="118">
        <f t="shared" si="5"/>
        <v>0</v>
      </c>
      <c r="AI13" s="118">
        <f>ROUND(G13*(L13)/$A$5,-3)</f>
        <v>0</v>
      </c>
      <c r="AJ13" s="118">
        <f>ROUND(G13*N13/$A$5*85%,-3)</f>
        <v>0</v>
      </c>
      <c r="AK13" s="119">
        <f t="shared" si="0"/>
        <v>9164000</v>
      </c>
      <c r="AL13" s="107">
        <f t="shared" si="1"/>
        <v>4647000</v>
      </c>
      <c r="AM13" s="107">
        <f t="shared" si="2"/>
        <v>0</v>
      </c>
      <c r="AN13" s="107">
        <f t="shared" si="3"/>
        <v>4300000</v>
      </c>
      <c r="AO13" s="107">
        <f t="shared" si="4"/>
        <v>0</v>
      </c>
      <c r="AP13" s="120">
        <f>ROUND((IF(I13="A",0,IF(I13="B",-(1330000)*50%,IF(I13="C",-(1330000)*100%))))*(J13)/$A$5,-3)</f>
        <v>0</v>
      </c>
      <c r="AQ13" s="123"/>
      <c r="AR13" s="118"/>
      <c r="AS13" s="119"/>
      <c r="AT13" s="119"/>
      <c r="AU13" s="119"/>
      <c r="AV13" s="119"/>
      <c r="AW13" s="121">
        <f>ROUND(SUM(AD13:AU13)-AV13,-3)</f>
        <v>28895000</v>
      </c>
      <c r="AX13" s="67">
        <f t="shared" si="6"/>
        <v>141000</v>
      </c>
      <c r="AY13" s="73">
        <v>546400</v>
      </c>
      <c r="AZ13" s="73">
        <v>102450</v>
      </c>
      <c r="BA13" s="73">
        <v>68300</v>
      </c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4">
        <f t="shared" ref="BN13:BN27" si="10">SUM(AX13:BM13)</f>
        <v>858150</v>
      </c>
      <c r="BO13" s="73">
        <v>80000</v>
      </c>
      <c r="BP13" s="73"/>
      <c r="BQ13" s="74">
        <f t="shared" si="7"/>
        <v>28116850</v>
      </c>
      <c r="BR13" s="73">
        <v>100000</v>
      </c>
      <c r="BS13" s="73">
        <v>21</v>
      </c>
      <c r="BT13" s="73">
        <f t="shared" si="8"/>
        <v>693000</v>
      </c>
      <c r="BU13" s="74">
        <f t="shared" si="9"/>
        <v>28909850</v>
      </c>
    </row>
    <row r="14" spans="1:73" s="49" customFormat="1" ht="48" customHeight="1" x14ac:dyDescent="0.25">
      <c r="A14" s="35">
        <v>4</v>
      </c>
      <c r="B14" s="63" t="s">
        <v>26</v>
      </c>
      <c r="C14" s="64" t="s">
        <v>89</v>
      </c>
      <c r="D14" s="111">
        <v>14910000</v>
      </c>
      <c r="E14" s="21">
        <v>525000</v>
      </c>
      <c r="F14" s="20">
        <v>6500000</v>
      </c>
      <c r="G14" s="21">
        <v>7140000</v>
      </c>
      <c r="H14" s="21">
        <v>525000</v>
      </c>
      <c r="I14" s="112" t="s">
        <v>58</v>
      </c>
      <c r="J14" s="113">
        <v>21</v>
      </c>
      <c r="K14" s="113">
        <v>1</v>
      </c>
      <c r="L14" s="113">
        <v>0</v>
      </c>
      <c r="M14" s="113">
        <v>0</v>
      </c>
      <c r="N14" s="113"/>
      <c r="O14" s="113">
        <v>0</v>
      </c>
      <c r="P14" s="122">
        <v>0</v>
      </c>
      <c r="Q14" s="115"/>
      <c r="R14" s="115"/>
      <c r="S14" s="115">
        <v>0</v>
      </c>
      <c r="T14" s="116">
        <v>100</v>
      </c>
      <c r="U14" s="116">
        <v>0</v>
      </c>
      <c r="V14" s="116">
        <v>0</v>
      </c>
      <c r="W14" s="116">
        <v>0</v>
      </c>
      <c r="X14" s="116">
        <v>49.6</v>
      </c>
      <c r="Y14" s="116">
        <v>0</v>
      </c>
      <c r="Z14" s="116">
        <v>6.3999999999999986</v>
      </c>
      <c r="AA14" s="116">
        <v>0</v>
      </c>
      <c r="AB14" s="116">
        <v>9</v>
      </c>
      <c r="AC14" s="116">
        <v>0</v>
      </c>
      <c r="AD14" s="112">
        <f>ROUND(F14*(J14)/$A$5*$B$5,-3)</f>
        <v>6205000</v>
      </c>
      <c r="AE14" s="117">
        <f>ROUND(IF(I14="A",(D14-F14-4500000)*(J14)/$A$5*$B$5,IF(I14="B",(D14-F14-4500000)*0.5*(J14)/$A$5*$B$5,IF(I14="C",0))),-3)</f>
        <v>1866000</v>
      </c>
      <c r="AF14" s="118">
        <f>ROUND(G14*(K14)/$A$5,-3)</f>
        <v>325000</v>
      </c>
      <c r="AG14" s="118"/>
      <c r="AH14" s="118">
        <f t="shared" si="5"/>
        <v>0</v>
      </c>
      <c r="AI14" s="118">
        <f>ROUND(G14*(L14)/$A$5,-3)</f>
        <v>0</v>
      </c>
      <c r="AJ14" s="118">
        <f>ROUND(G14*N14/$A$5*85%,-3)</f>
        <v>0</v>
      </c>
      <c r="AK14" s="119">
        <f t="shared" si="0"/>
        <v>0</v>
      </c>
      <c r="AL14" s="107">
        <f t="shared" si="1"/>
        <v>2795000</v>
      </c>
      <c r="AM14" s="107">
        <f t="shared" si="2"/>
        <v>0</v>
      </c>
      <c r="AN14" s="107">
        <f t="shared" si="3"/>
        <v>4300000</v>
      </c>
      <c r="AO14" s="107">
        <f t="shared" si="4"/>
        <v>0</v>
      </c>
      <c r="AP14" s="120"/>
      <c r="AQ14" s="118">
        <v>525000</v>
      </c>
      <c r="AR14" s="118"/>
      <c r="AS14" s="119">
        <v>1791000</v>
      </c>
      <c r="AT14" s="119"/>
      <c r="AU14" s="119"/>
      <c r="AV14" s="119"/>
      <c r="AW14" s="121">
        <f>ROUND(SUM(AD14:AU14)-AV14,-3)</f>
        <v>17807000</v>
      </c>
      <c r="AX14" s="67">
        <f t="shared" si="6"/>
        <v>85000</v>
      </c>
      <c r="AY14" s="73">
        <v>561200</v>
      </c>
      <c r="AZ14" s="73">
        <v>105225</v>
      </c>
      <c r="BA14" s="73">
        <v>70150</v>
      </c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4">
        <f t="shared" si="10"/>
        <v>821575</v>
      </c>
      <c r="BO14" s="73"/>
      <c r="BP14" s="73"/>
      <c r="BQ14" s="74">
        <f t="shared" si="7"/>
        <v>16985425</v>
      </c>
      <c r="BR14" s="73">
        <v>100000</v>
      </c>
      <c r="BS14" s="73">
        <v>21</v>
      </c>
      <c r="BT14" s="73">
        <f t="shared" si="8"/>
        <v>693000</v>
      </c>
      <c r="BU14" s="74">
        <f t="shared" si="9"/>
        <v>17778425</v>
      </c>
    </row>
    <row r="15" spans="1:73" s="50" customFormat="1" ht="48" customHeight="1" x14ac:dyDescent="0.25">
      <c r="A15" s="35">
        <v>5</v>
      </c>
      <c r="B15" s="63" t="s">
        <v>45</v>
      </c>
      <c r="C15" s="65" t="s">
        <v>24</v>
      </c>
      <c r="D15" s="111">
        <v>15440000</v>
      </c>
      <c r="E15" s="21"/>
      <c r="F15" s="20">
        <v>6500000</v>
      </c>
      <c r="G15" s="21">
        <v>7510000</v>
      </c>
      <c r="H15" s="21"/>
      <c r="I15" s="112" t="s">
        <v>21</v>
      </c>
      <c r="J15" s="113">
        <v>21</v>
      </c>
      <c r="K15" s="113">
        <v>1</v>
      </c>
      <c r="L15" s="113">
        <v>0</v>
      </c>
      <c r="M15" s="113">
        <v>0</v>
      </c>
      <c r="N15" s="113"/>
      <c r="O15" s="113">
        <v>0</v>
      </c>
      <c r="P15" s="122">
        <v>0</v>
      </c>
      <c r="Q15" s="115"/>
      <c r="R15" s="115"/>
      <c r="S15" s="115">
        <v>0</v>
      </c>
      <c r="T15" s="114">
        <v>50</v>
      </c>
      <c r="U15" s="114">
        <v>0</v>
      </c>
      <c r="V15" s="114">
        <v>0</v>
      </c>
      <c r="W15" s="114"/>
      <c r="X15" s="114">
        <v>4.6999999999999993</v>
      </c>
      <c r="Y15" s="114">
        <v>0</v>
      </c>
      <c r="Z15" s="114">
        <v>0</v>
      </c>
      <c r="AA15" s="114">
        <v>0</v>
      </c>
      <c r="AB15" s="114">
        <v>6</v>
      </c>
      <c r="AC15" s="114">
        <v>0</v>
      </c>
      <c r="AD15" s="112">
        <f t="shared" ref="AD15:AD22" si="11">ROUND(F15*(J15)/$A$5*$B$5,-3)</f>
        <v>6205000</v>
      </c>
      <c r="AE15" s="117">
        <f t="shared" ref="AE15:AE22" si="12">ROUND(IF(I15="A",(D15-F15-4500000)*(J15)/$A$5*$B$5,IF(I15="B",(D15-F15-4500000)*0.5*(J15)/$A$5*$B$5,IF(I15="C",0))),-3)</f>
        <v>4238000</v>
      </c>
      <c r="AF15" s="118">
        <f t="shared" ref="AF15:AF27" si="13">ROUND(G15*(K15)/$A$5,-3)</f>
        <v>341000</v>
      </c>
      <c r="AG15" s="118"/>
      <c r="AH15" s="118">
        <f t="shared" si="5"/>
        <v>0</v>
      </c>
      <c r="AI15" s="118">
        <f t="shared" ref="AI15:AI21" si="14">ROUND(G15*(L15)/$A$5,-3)</f>
        <v>0</v>
      </c>
      <c r="AJ15" s="118">
        <f t="shared" ref="AJ15:AJ26" si="15">ROUND(G15*N15/$A$5*85%,-3)</f>
        <v>0</v>
      </c>
      <c r="AK15" s="119">
        <f t="shared" si="0"/>
        <v>0</v>
      </c>
      <c r="AL15" s="107">
        <f t="shared" si="1"/>
        <v>460000</v>
      </c>
      <c r="AM15" s="107">
        <f t="shared" si="2"/>
        <v>0</v>
      </c>
      <c r="AN15" s="107">
        <f t="shared" si="3"/>
        <v>2150000</v>
      </c>
      <c r="AO15" s="107">
        <f t="shared" si="4"/>
        <v>0</v>
      </c>
      <c r="AP15" s="120">
        <f t="shared" ref="AP15:AP20" si="16">ROUND((IF(I15="A",0,IF(I15="B",-(1330000)*50%,IF(I15="C",-(1330000)*100%))))*(J15)/$A$5,-3)</f>
        <v>0</v>
      </c>
      <c r="AQ15" s="124"/>
      <c r="AR15" s="118">
        <f>E15*(J15+K15)/$A$5</f>
        <v>0</v>
      </c>
      <c r="AS15" s="118">
        <v>532000</v>
      </c>
      <c r="AT15" s="118"/>
      <c r="AU15" s="118"/>
      <c r="AV15" s="118"/>
      <c r="AW15" s="121">
        <f t="shared" ref="AW15:AW27" si="17">ROUND(SUM(AD15:AU15)-AV15,-3)</f>
        <v>13926000</v>
      </c>
      <c r="AX15" s="67">
        <f t="shared" si="6"/>
        <v>66000</v>
      </c>
      <c r="AY15" s="73">
        <v>546400</v>
      </c>
      <c r="AZ15" s="73">
        <v>102450</v>
      </c>
      <c r="BA15" s="73">
        <v>68300</v>
      </c>
      <c r="BB15" s="73"/>
      <c r="BC15" s="73"/>
      <c r="BD15" s="73"/>
      <c r="BE15" s="73"/>
      <c r="BF15" s="73"/>
      <c r="BG15" s="73"/>
      <c r="BH15" s="73"/>
      <c r="BI15" s="73"/>
      <c r="BJ15" s="73">
        <v>2022000</v>
      </c>
      <c r="BK15" s="73"/>
      <c r="BL15" s="73"/>
      <c r="BM15" s="73"/>
      <c r="BN15" s="74">
        <f t="shared" si="10"/>
        <v>2805150</v>
      </c>
      <c r="BO15" s="73"/>
      <c r="BP15" s="73"/>
      <c r="BQ15" s="74">
        <f t="shared" si="7"/>
        <v>11120850</v>
      </c>
      <c r="BR15" s="73">
        <v>100000</v>
      </c>
      <c r="BS15" s="73">
        <v>21</v>
      </c>
      <c r="BT15" s="73">
        <f t="shared" si="8"/>
        <v>693000</v>
      </c>
      <c r="BU15" s="74">
        <f t="shared" si="9"/>
        <v>11913850</v>
      </c>
    </row>
    <row r="16" spans="1:73" s="50" customFormat="1" ht="48" customHeight="1" x14ac:dyDescent="0.25">
      <c r="A16" s="35">
        <v>6</v>
      </c>
      <c r="B16" s="63" t="s">
        <v>22</v>
      </c>
      <c r="C16" s="64" t="s">
        <v>53</v>
      </c>
      <c r="D16" s="111">
        <v>14910000</v>
      </c>
      <c r="E16" s="21">
        <v>420000</v>
      </c>
      <c r="F16" s="20">
        <v>6500000</v>
      </c>
      <c r="G16" s="21">
        <v>7140000</v>
      </c>
      <c r="H16" s="21">
        <v>420000</v>
      </c>
      <c r="I16" s="112" t="s">
        <v>21</v>
      </c>
      <c r="J16" s="113">
        <v>21</v>
      </c>
      <c r="K16" s="113">
        <v>1</v>
      </c>
      <c r="L16" s="113">
        <v>0</v>
      </c>
      <c r="M16" s="113">
        <v>0</v>
      </c>
      <c r="N16" s="113"/>
      <c r="O16" s="113">
        <v>0</v>
      </c>
      <c r="P16" s="122">
        <v>46.5</v>
      </c>
      <c r="Q16" s="122"/>
      <c r="R16" s="122"/>
      <c r="S16" s="115">
        <v>0</v>
      </c>
      <c r="T16" s="114">
        <v>100</v>
      </c>
      <c r="U16" s="114">
        <v>0</v>
      </c>
      <c r="V16" s="114">
        <v>0</v>
      </c>
      <c r="W16" s="114"/>
      <c r="X16" s="114">
        <v>0</v>
      </c>
      <c r="Y16" s="114">
        <v>0</v>
      </c>
      <c r="Z16" s="114">
        <v>8</v>
      </c>
      <c r="AA16" s="114">
        <v>0</v>
      </c>
      <c r="AB16" s="114">
        <v>2</v>
      </c>
      <c r="AC16" s="114">
        <v>0</v>
      </c>
      <c r="AD16" s="112">
        <f t="shared" si="11"/>
        <v>6205000</v>
      </c>
      <c r="AE16" s="117">
        <f t="shared" si="12"/>
        <v>3732000</v>
      </c>
      <c r="AF16" s="118">
        <f t="shared" si="13"/>
        <v>325000</v>
      </c>
      <c r="AG16" s="118"/>
      <c r="AH16" s="118">
        <f t="shared" si="5"/>
        <v>0</v>
      </c>
      <c r="AI16" s="118">
        <f t="shared" si="14"/>
        <v>0</v>
      </c>
      <c r="AJ16" s="125">
        <f t="shared" si="15"/>
        <v>0</v>
      </c>
      <c r="AK16" s="119">
        <f t="shared" si="0"/>
        <v>14694000</v>
      </c>
      <c r="AL16" s="107">
        <f t="shared" si="1"/>
        <v>430000</v>
      </c>
      <c r="AM16" s="107">
        <f t="shared" si="2"/>
        <v>0</v>
      </c>
      <c r="AN16" s="107">
        <f t="shared" si="3"/>
        <v>4300000</v>
      </c>
      <c r="AO16" s="107">
        <f t="shared" si="4"/>
        <v>0</v>
      </c>
      <c r="AP16" s="120">
        <f t="shared" si="16"/>
        <v>0</v>
      </c>
      <c r="AQ16" s="111">
        <v>420000</v>
      </c>
      <c r="AR16" s="111"/>
      <c r="AS16" s="118">
        <v>1864000</v>
      </c>
      <c r="AT16" s="118"/>
      <c r="AU16" s="118"/>
      <c r="AV16" s="126"/>
      <c r="AW16" s="121">
        <f t="shared" si="17"/>
        <v>31970000</v>
      </c>
      <c r="AX16" s="67">
        <f t="shared" si="6"/>
        <v>156000</v>
      </c>
      <c r="AY16" s="73">
        <v>552800</v>
      </c>
      <c r="AZ16" s="73">
        <v>103650</v>
      </c>
      <c r="BA16" s="73">
        <v>69100</v>
      </c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4">
        <f>SUM(AX16:BM16)</f>
        <v>881550</v>
      </c>
      <c r="BO16" s="73"/>
      <c r="BP16" s="73"/>
      <c r="BQ16" s="74">
        <f>(AW16-BN16+BO16+BP16)</f>
        <v>31088450</v>
      </c>
      <c r="BR16" s="73">
        <v>100000</v>
      </c>
      <c r="BS16" s="73">
        <v>21</v>
      </c>
      <c r="BT16" s="73">
        <f t="shared" si="8"/>
        <v>693000</v>
      </c>
      <c r="BU16" s="74">
        <f t="shared" si="9"/>
        <v>31881450</v>
      </c>
    </row>
    <row r="17" spans="1:73" s="50" customFormat="1" ht="48" customHeight="1" x14ac:dyDescent="0.25">
      <c r="A17" s="35">
        <v>7</v>
      </c>
      <c r="B17" s="66" t="s">
        <v>54</v>
      </c>
      <c r="C17" s="65" t="s">
        <v>24</v>
      </c>
      <c r="D17" s="111">
        <v>14370000</v>
      </c>
      <c r="E17" s="113"/>
      <c r="F17" s="20">
        <v>6500000</v>
      </c>
      <c r="G17" s="21">
        <v>6800000</v>
      </c>
      <c r="H17" s="21"/>
      <c r="I17" s="112" t="s">
        <v>21</v>
      </c>
      <c r="J17" s="113">
        <v>21</v>
      </c>
      <c r="K17" s="113">
        <v>1</v>
      </c>
      <c r="L17" s="113">
        <v>0</v>
      </c>
      <c r="M17" s="113">
        <v>0</v>
      </c>
      <c r="N17" s="113"/>
      <c r="O17" s="113">
        <v>0</v>
      </c>
      <c r="P17" s="122">
        <v>0</v>
      </c>
      <c r="Q17" s="122"/>
      <c r="R17" s="122"/>
      <c r="S17" s="115">
        <v>0</v>
      </c>
      <c r="T17" s="114">
        <v>50</v>
      </c>
      <c r="U17" s="114">
        <v>0</v>
      </c>
      <c r="V17" s="114">
        <v>0</v>
      </c>
      <c r="W17" s="114">
        <v>0</v>
      </c>
      <c r="X17" s="114">
        <v>0</v>
      </c>
      <c r="Y17" s="114">
        <v>0</v>
      </c>
      <c r="Z17" s="114">
        <v>5</v>
      </c>
      <c r="AA17" s="114">
        <v>0</v>
      </c>
      <c r="AB17" s="114">
        <v>1</v>
      </c>
      <c r="AC17" s="114">
        <v>0</v>
      </c>
      <c r="AD17" s="112">
        <f t="shared" si="11"/>
        <v>6205000</v>
      </c>
      <c r="AE17" s="117">
        <f t="shared" si="12"/>
        <v>3217000</v>
      </c>
      <c r="AF17" s="118">
        <f t="shared" si="13"/>
        <v>309000</v>
      </c>
      <c r="AG17" s="118"/>
      <c r="AH17" s="118">
        <f t="shared" si="5"/>
        <v>0</v>
      </c>
      <c r="AI17" s="118">
        <f t="shared" si="14"/>
        <v>0</v>
      </c>
      <c r="AJ17" s="118">
        <f t="shared" si="15"/>
        <v>0</v>
      </c>
      <c r="AK17" s="119">
        <f>ROUND(P17*316000,-3)+ROUND(O17*316000,-3)</f>
        <v>0</v>
      </c>
      <c r="AL17" s="107">
        <f t="shared" si="1"/>
        <v>258000</v>
      </c>
      <c r="AM17" s="107">
        <f t="shared" si="2"/>
        <v>0</v>
      </c>
      <c r="AN17" s="107">
        <f t="shared" si="3"/>
        <v>2150000</v>
      </c>
      <c r="AO17" s="107">
        <f t="shared" si="4"/>
        <v>0</v>
      </c>
      <c r="AP17" s="120">
        <f t="shared" si="16"/>
        <v>0</v>
      </c>
      <c r="AQ17" s="124"/>
      <c r="AR17" s="118">
        <f>E17*(J17+K17)/$A$5</f>
        <v>0</v>
      </c>
      <c r="AS17" s="118"/>
      <c r="AT17" s="118"/>
      <c r="AU17" s="118"/>
      <c r="AV17" s="126"/>
      <c r="AW17" s="121">
        <f t="shared" si="17"/>
        <v>12139000</v>
      </c>
      <c r="AX17" s="67">
        <f t="shared" si="6"/>
        <v>57000</v>
      </c>
      <c r="AY17" s="73">
        <v>494400</v>
      </c>
      <c r="AZ17" s="73">
        <v>92700</v>
      </c>
      <c r="BA17" s="73">
        <v>61800</v>
      </c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4">
        <f t="shared" si="10"/>
        <v>705900</v>
      </c>
      <c r="BO17" s="73">
        <v>80000</v>
      </c>
      <c r="BP17" s="73"/>
      <c r="BQ17" s="74">
        <f t="shared" si="7"/>
        <v>11513100</v>
      </c>
      <c r="BR17" s="73">
        <v>100000</v>
      </c>
      <c r="BS17" s="73">
        <v>21</v>
      </c>
      <c r="BT17" s="73">
        <f t="shared" si="8"/>
        <v>693000</v>
      </c>
      <c r="BU17" s="74">
        <f t="shared" si="9"/>
        <v>12306100</v>
      </c>
    </row>
    <row r="18" spans="1:73" s="51" customFormat="1" ht="48" customHeight="1" x14ac:dyDescent="0.25">
      <c r="A18" s="35">
        <v>8</v>
      </c>
      <c r="B18" s="66" t="s">
        <v>56</v>
      </c>
      <c r="C18" s="65" t="s">
        <v>24</v>
      </c>
      <c r="D18" s="111">
        <v>14370000</v>
      </c>
      <c r="E18" s="113"/>
      <c r="F18" s="20">
        <v>6500000</v>
      </c>
      <c r="G18" s="21">
        <v>6800000</v>
      </c>
      <c r="H18" s="21"/>
      <c r="I18" s="112" t="s">
        <v>21</v>
      </c>
      <c r="J18" s="113">
        <v>21</v>
      </c>
      <c r="K18" s="113">
        <v>1</v>
      </c>
      <c r="L18" s="113">
        <v>0</v>
      </c>
      <c r="M18" s="113">
        <v>0</v>
      </c>
      <c r="N18" s="113"/>
      <c r="O18" s="113">
        <v>0</v>
      </c>
      <c r="P18" s="122">
        <v>46.5</v>
      </c>
      <c r="Q18" s="115"/>
      <c r="R18" s="115"/>
      <c r="S18" s="115">
        <v>0</v>
      </c>
      <c r="T18" s="114">
        <v>20</v>
      </c>
      <c r="U18" s="114">
        <v>0</v>
      </c>
      <c r="V18" s="114">
        <v>80</v>
      </c>
      <c r="W18" s="114">
        <v>0</v>
      </c>
      <c r="X18" s="114">
        <v>0</v>
      </c>
      <c r="Y18" s="114">
        <v>0</v>
      </c>
      <c r="Z18" s="114">
        <v>0</v>
      </c>
      <c r="AA18" s="114">
        <v>0</v>
      </c>
      <c r="AB18" s="114">
        <v>0</v>
      </c>
      <c r="AC18" s="114">
        <v>0</v>
      </c>
      <c r="AD18" s="112">
        <f t="shared" si="11"/>
        <v>6205000</v>
      </c>
      <c r="AE18" s="117">
        <f t="shared" si="12"/>
        <v>3217000</v>
      </c>
      <c r="AF18" s="118">
        <f t="shared" si="13"/>
        <v>309000</v>
      </c>
      <c r="AG18" s="118"/>
      <c r="AH18" s="118">
        <f t="shared" si="5"/>
        <v>0</v>
      </c>
      <c r="AI18" s="118">
        <f t="shared" si="14"/>
        <v>0</v>
      </c>
      <c r="AJ18" s="118">
        <f t="shared" si="15"/>
        <v>0</v>
      </c>
      <c r="AK18" s="119">
        <f t="shared" ref="AK18:AK27" si="18">ROUND(P18*316000,-3)</f>
        <v>14694000</v>
      </c>
      <c r="AL18" s="107">
        <f t="shared" si="1"/>
        <v>0</v>
      </c>
      <c r="AM18" s="107">
        <f t="shared" si="2"/>
        <v>0</v>
      </c>
      <c r="AN18" s="107">
        <f t="shared" si="3"/>
        <v>4300000</v>
      </c>
      <c r="AO18" s="107">
        <f t="shared" si="4"/>
        <v>0</v>
      </c>
      <c r="AP18" s="120">
        <f t="shared" si="16"/>
        <v>0</v>
      </c>
      <c r="AQ18" s="124"/>
      <c r="AR18" s="118">
        <f>E18*(J18+K18)/$A$5</f>
        <v>0</v>
      </c>
      <c r="AS18" s="112">
        <v>1376000</v>
      </c>
      <c r="AT18" s="112"/>
      <c r="AU18" s="112"/>
      <c r="AV18" s="126"/>
      <c r="AW18" s="121">
        <f t="shared" si="17"/>
        <v>30101000</v>
      </c>
      <c r="AX18" s="67">
        <f t="shared" si="6"/>
        <v>147000</v>
      </c>
      <c r="AY18" s="73">
        <v>494400</v>
      </c>
      <c r="AZ18" s="73">
        <v>92700</v>
      </c>
      <c r="BA18" s="73">
        <v>61800</v>
      </c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4">
        <f t="shared" si="10"/>
        <v>795900</v>
      </c>
      <c r="BO18" s="73"/>
      <c r="BP18" s="73"/>
      <c r="BQ18" s="74">
        <f t="shared" si="7"/>
        <v>29305100</v>
      </c>
      <c r="BR18" s="73">
        <v>100000</v>
      </c>
      <c r="BS18" s="73">
        <v>21</v>
      </c>
      <c r="BT18" s="73">
        <f t="shared" si="8"/>
        <v>693000</v>
      </c>
      <c r="BU18" s="74">
        <f t="shared" si="9"/>
        <v>30098100</v>
      </c>
    </row>
    <row r="19" spans="1:73" s="51" customFormat="1" ht="48" customHeight="1" x14ac:dyDescent="0.25">
      <c r="A19" s="35">
        <v>9</v>
      </c>
      <c r="B19" s="66" t="s">
        <v>59</v>
      </c>
      <c r="C19" s="65" t="s">
        <v>24</v>
      </c>
      <c r="D19" s="111">
        <v>14910000</v>
      </c>
      <c r="E19" s="113"/>
      <c r="F19" s="20">
        <v>6500000</v>
      </c>
      <c r="G19" s="21">
        <v>7140000</v>
      </c>
      <c r="H19" s="21"/>
      <c r="I19" s="112" t="s">
        <v>21</v>
      </c>
      <c r="J19" s="113">
        <v>21</v>
      </c>
      <c r="K19" s="113">
        <v>1</v>
      </c>
      <c r="L19" s="113">
        <v>0</v>
      </c>
      <c r="M19" s="113">
        <v>0</v>
      </c>
      <c r="N19" s="113"/>
      <c r="O19" s="113">
        <v>0</v>
      </c>
      <c r="P19" s="122">
        <v>0</v>
      </c>
      <c r="Q19" s="115"/>
      <c r="R19" s="115"/>
      <c r="S19" s="115">
        <v>0</v>
      </c>
      <c r="T19" s="114">
        <v>40</v>
      </c>
      <c r="U19" s="114">
        <v>0</v>
      </c>
      <c r="V19" s="114">
        <v>10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2.9333333333333371</v>
      </c>
      <c r="AC19" s="114">
        <v>15</v>
      </c>
      <c r="AD19" s="112">
        <f t="shared" si="11"/>
        <v>6205000</v>
      </c>
      <c r="AE19" s="117">
        <f t="shared" si="12"/>
        <v>3732000</v>
      </c>
      <c r="AF19" s="118">
        <f t="shared" si="13"/>
        <v>325000</v>
      </c>
      <c r="AG19" s="118"/>
      <c r="AH19" s="118">
        <f t="shared" si="5"/>
        <v>0</v>
      </c>
      <c r="AI19" s="118">
        <f t="shared" si="14"/>
        <v>0</v>
      </c>
      <c r="AJ19" s="118">
        <f t="shared" si="15"/>
        <v>0</v>
      </c>
      <c r="AK19" s="119">
        <f t="shared" si="18"/>
        <v>0</v>
      </c>
      <c r="AL19" s="107">
        <f t="shared" si="1"/>
        <v>126000</v>
      </c>
      <c r="AM19" s="107">
        <f t="shared" si="2"/>
        <v>810000</v>
      </c>
      <c r="AN19" s="107">
        <f t="shared" si="3"/>
        <v>2150000</v>
      </c>
      <c r="AO19" s="107">
        <f t="shared" si="4"/>
        <v>0</v>
      </c>
      <c r="AP19" s="120">
        <f t="shared" si="16"/>
        <v>0</v>
      </c>
      <c r="AQ19" s="124"/>
      <c r="AR19" s="118">
        <f>E19*(J19+K19)/$A$5</f>
        <v>0</v>
      </c>
      <c r="AS19" s="112">
        <v>1992000</v>
      </c>
      <c r="AT19" s="112"/>
      <c r="AU19" s="112"/>
      <c r="AV19" s="126"/>
      <c r="AW19" s="121">
        <f t="shared" si="17"/>
        <v>15340000</v>
      </c>
      <c r="AX19" s="67">
        <f t="shared" si="6"/>
        <v>73000</v>
      </c>
      <c r="AY19" s="73">
        <v>519200</v>
      </c>
      <c r="AZ19" s="73">
        <v>97350</v>
      </c>
      <c r="BA19" s="73">
        <v>64900</v>
      </c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4">
        <f t="shared" si="10"/>
        <v>754450</v>
      </c>
      <c r="BO19" s="73"/>
      <c r="BP19" s="73"/>
      <c r="BQ19" s="74">
        <f t="shared" si="7"/>
        <v>14585550</v>
      </c>
      <c r="BR19" s="73">
        <v>100000</v>
      </c>
      <c r="BS19" s="73">
        <v>21</v>
      </c>
      <c r="BT19" s="73">
        <f t="shared" si="8"/>
        <v>693000</v>
      </c>
      <c r="BU19" s="74">
        <f t="shared" si="9"/>
        <v>15378550</v>
      </c>
    </row>
    <row r="20" spans="1:73" s="51" customFormat="1" ht="48" customHeight="1" x14ac:dyDescent="0.25">
      <c r="A20" s="35">
        <v>10</v>
      </c>
      <c r="B20" s="66" t="s">
        <v>60</v>
      </c>
      <c r="C20" s="65" t="s">
        <v>24</v>
      </c>
      <c r="D20" s="111">
        <v>14910000</v>
      </c>
      <c r="E20" s="113"/>
      <c r="F20" s="20">
        <v>6500000</v>
      </c>
      <c r="G20" s="21">
        <v>7140000</v>
      </c>
      <c r="H20" s="21"/>
      <c r="I20" s="112" t="s">
        <v>21</v>
      </c>
      <c r="J20" s="113">
        <v>21</v>
      </c>
      <c r="K20" s="113">
        <v>1</v>
      </c>
      <c r="L20" s="113">
        <v>0</v>
      </c>
      <c r="M20" s="113">
        <v>0</v>
      </c>
      <c r="N20" s="113"/>
      <c r="O20" s="113">
        <v>0</v>
      </c>
      <c r="P20" s="122">
        <v>0</v>
      </c>
      <c r="Q20" s="115"/>
      <c r="R20" s="115"/>
      <c r="S20" s="119">
        <v>0</v>
      </c>
      <c r="T20" s="114">
        <v>50</v>
      </c>
      <c r="U20" s="114">
        <v>0</v>
      </c>
      <c r="V20" s="114">
        <v>50</v>
      </c>
      <c r="W20" s="114">
        <v>0</v>
      </c>
      <c r="X20" s="114">
        <v>0</v>
      </c>
      <c r="Y20" s="114">
        <v>0</v>
      </c>
      <c r="Z20" s="114">
        <v>6.5</v>
      </c>
      <c r="AA20" s="114">
        <v>0</v>
      </c>
      <c r="AB20" s="114">
        <v>2.9333333333333371</v>
      </c>
      <c r="AC20" s="114">
        <v>0</v>
      </c>
      <c r="AD20" s="112">
        <f t="shared" si="11"/>
        <v>6205000</v>
      </c>
      <c r="AE20" s="117">
        <f t="shared" si="12"/>
        <v>3732000</v>
      </c>
      <c r="AF20" s="118">
        <f t="shared" si="13"/>
        <v>325000</v>
      </c>
      <c r="AG20" s="118"/>
      <c r="AH20" s="118">
        <f t="shared" si="5"/>
        <v>0</v>
      </c>
      <c r="AI20" s="118">
        <f t="shared" si="14"/>
        <v>0</v>
      </c>
      <c r="AJ20" s="118">
        <f t="shared" si="15"/>
        <v>0</v>
      </c>
      <c r="AK20" s="119">
        <f t="shared" si="18"/>
        <v>0</v>
      </c>
      <c r="AL20" s="107">
        <f t="shared" si="1"/>
        <v>406000</v>
      </c>
      <c r="AM20" s="107">
        <f t="shared" si="2"/>
        <v>0</v>
      </c>
      <c r="AN20" s="107">
        <f t="shared" si="3"/>
        <v>4300000</v>
      </c>
      <c r="AO20" s="107">
        <f t="shared" si="4"/>
        <v>0</v>
      </c>
      <c r="AP20" s="120">
        <f t="shared" si="16"/>
        <v>0</v>
      </c>
      <c r="AQ20" s="124"/>
      <c r="AR20" s="118">
        <f>E20*(J20+K20)/$A$5</f>
        <v>0</v>
      </c>
      <c r="AS20" s="112">
        <v>7254000</v>
      </c>
      <c r="AT20" s="112"/>
      <c r="AU20" s="112"/>
      <c r="AV20" s="126"/>
      <c r="AW20" s="121">
        <f t="shared" si="17"/>
        <v>22222000</v>
      </c>
      <c r="AX20" s="67">
        <f t="shared" si="6"/>
        <v>108000</v>
      </c>
      <c r="AY20" s="73">
        <v>519200</v>
      </c>
      <c r="AZ20" s="73">
        <v>97350</v>
      </c>
      <c r="BA20" s="73">
        <v>64900</v>
      </c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4">
        <f t="shared" si="10"/>
        <v>789450</v>
      </c>
      <c r="BO20" s="73"/>
      <c r="BP20" s="73"/>
      <c r="BQ20" s="74">
        <f t="shared" si="7"/>
        <v>21432550</v>
      </c>
      <c r="BR20" s="73">
        <v>100000</v>
      </c>
      <c r="BS20" s="73">
        <v>21</v>
      </c>
      <c r="BT20" s="73">
        <f t="shared" si="8"/>
        <v>693000</v>
      </c>
      <c r="BU20" s="74">
        <f t="shared" si="9"/>
        <v>22225550</v>
      </c>
    </row>
    <row r="21" spans="1:73" s="51" customFormat="1" ht="48" customHeight="1" x14ac:dyDescent="0.25">
      <c r="A21" s="35">
        <v>11</v>
      </c>
      <c r="B21" s="66" t="s">
        <v>62</v>
      </c>
      <c r="C21" s="65" t="s">
        <v>24</v>
      </c>
      <c r="D21" s="111">
        <v>15440000</v>
      </c>
      <c r="E21" s="113"/>
      <c r="F21" s="20">
        <v>6500000</v>
      </c>
      <c r="G21" s="21">
        <v>7510000</v>
      </c>
      <c r="H21" s="21"/>
      <c r="I21" s="112" t="s">
        <v>21</v>
      </c>
      <c r="J21" s="113">
        <v>21</v>
      </c>
      <c r="K21" s="113">
        <v>1</v>
      </c>
      <c r="L21" s="113">
        <v>0</v>
      </c>
      <c r="M21" s="113">
        <v>0</v>
      </c>
      <c r="N21" s="113"/>
      <c r="O21" s="113">
        <v>0</v>
      </c>
      <c r="P21" s="122">
        <v>0</v>
      </c>
      <c r="Q21" s="115"/>
      <c r="R21" s="115"/>
      <c r="S21" s="115">
        <v>0</v>
      </c>
      <c r="T21" s="114">
        <v>0</v>
      </c>
      <c r="U21" s="114">
        <v>0</v>
      </c>
      <c r="V21" s="114">
        <v>100</v>
      </c>
      <c r="W21" s="114">
        <v>0</v>
      </c>
      <c r="X21" s="114">
        <v>0</v>
      </c>
      <c r="Y21" s="114">
        <v>0</v>
      </c>
      <c r="Z21" s="114">
        <v>0</v>
      </c>
      <c r="AA21" s="114">
        <v>0</v>
      </c>
      <c r="AB21" s="114">
        <v>17</v>
      </c>
      <c r="AC21" s="114">
        <v>0</v>
      </c>
      <c r="AD21" s="112">
        <f t="shared" si="11"/>
        <v>6205000</v>
      </c>
      <c r="AE21" s="117">
        <f t="shared" si="12"/>
        <v>4238000</v>
      </c>
      <c r="AF21" s="118">
        <f t="shared" si="13"/>
        <v>341000</v>
      </c>
      <c r="AG21" s="118"/>
      <c r="AH21" s="118">
        <f t="shared" si="5"/>
        <v>0</v>
      </c>
      <c r="AI21" s="118">
        <f t="shared" si="14"/>
        <v>0</v>
      </c>
      <c r="AJ21" s="118">
        <f t="shared" si="15"/>
        <v>0</v>
      </c>
      <c r="AK21" s="119">
        <f t="shared" si="18"/>
        <v>0</v>
      </c>
      <c r="AL21" s="107">
        <f t="shared" si="1"/>
        <v>731000</v>
      </c>
      <c r="AM21" s="107">
        <f t="shared" si="2"/>
        <v>0</v>
      </c>
      <c r="AN21" s="107">
        <f t="shared" si="3"/>
        <v>4300000</v>
      </c>
      <c r="AO21" s="107">
        <f t="shared" si="4"/>
        <v>0</v>
      </c>
      <c r="AP21" s="120"/>
      <c r="AQ21" s="124"/>
      <c r="AR21" s="118">
        <f>E21*(J21+K21)/$A$5</f>
        <v>0</v>
      </c>
      <c r="AS21" s="112">
        <v>15282000</v>
      </c>
      <c r="AT21" s="112"/>
      <c r="AU21" s="112"/>
      <c r="AV21" s="126"/>
      <c r="AW21" s="121">
        <f t="shared" si="17"/>
        <v>31097000</v>
      </c>
      <c r="AX21" s="67">
        <f t="shared" si="6"/>
        <v>152000</v>
      </c>
      <c r="AY21" s="73">
        <v>546400</v>
      </c>
      <c r="AZ21" s="73">
        <v>102450</v>
      </c>
      <c r="BA21" s="73">
        <v>68300</v>
      </c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4">
        <f t="shared" si="10"/>
        <v>869150</v>
      </c>
      <c r="BO21" s="73"/>
      <c r="BP21" s="73"/>
      <c r="BQ21" s="74">
        <f t="shared" si="7"/>
        <v>30227850</v>
      </c>
      <c r="BR21" s="73">
        <v>100000</v>
      </c>
      <c r="BS21" s="73">
        <v>21</v>
      </c>
      <c r="BT21" s="73">
        <f t="shared" si="8"/>
        <v>693000</v>
      </c>
      <c r="BU21" s="74">
        <f t="shared" si="9"/>
        <v>31020850</v>
      </c>
    </row>
    <row r="22" spans="1:73" s="51" customFormat="1" ht="48" customHeight="1" x14ac:dyDescent="0.25">
      <c r="A22" s="35">
        <v>12</v>
      </c>
      <c r="B22" s="66" t="s">
        <v>107</v>
      </c>
      <c r="C22" s="64" t="s">
        <v>108</v>
      </c>
      <c r="D22" s="111">
        <v>14370000</v>
      </c>
      <c r="E22" s="113"/>
      <c r="F22" s="20">
        <v>6500000</v>
      </c>
      <c r="G22" s="21">
        <v>6800000</v>
      </c>
      <c r="H22" s="21"/>
      <c r="I22" s="112" t="s">
        <v>21</v>
      </c>
      <c r="J22" s="113"/>
      <c r="K22" s="113">
        <v>1</v>
      </c>
      <c r="L22" s="113">
        <v>21</v>
      </c>
      <c r="M22" s="113">
        <v>0</v>
      </c>
      <c r="N22" s="113"/>
      <c r="O22" s="113"/>
      <c r="P22" s="122">
        <v>0</v>
      </c>
      <c r="Q22" s="115"/>
      <c r="R22" s="115"/>
      <c r="S22" s="115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2">
        <f t="shared" si="11"/>
        <v>0</v>
      </c>
      <c r="AE22" s="117">
        <f t="shared" si="12"/>
        <v>0</v>
      </c>
      <c r="AF22" s="118">
        <f t="shared" si="13"/>
        <v>309000</v>
      </c>
      <c r="AG22" s="118"/>
      <c r="AH22" s="118">
        <f t="shared" si="5"/>
        <v>0</v>
      </c>
      <c r="AI22" s="118">
        <f>ROUND(G22*(L22)/$A$5,-3)</f>
        <v>6491000</v>
      </c>
      <c r="AJ22" s="118">
        <f>ROUND(G22*N22/$A$5*85%,-3)</f>
        <v>0</v>
      </c>
      <c r="AK22" s="119">
        <f t="shared" si="18"/>
        <v>0</v>
      </c>
      <c r="AL22" s="107">
        <f t="shared" si="1"/>
        <v>0</v>
      </c>
      <c r="AM22" s="107">
        <f t="shared" si="2"/>
        <v>0</v>
      </c>
      <c r="AN22" s="107">
        <f t="shared" si="3"/>
        <v>0</v>
      </c>
      <c r="AO22" s="107">
        <f t="shared" si="4"/>
        <v>0</v>
      </c>
      <c r="AP22" s="120">
        <f>ROUND((IF(I22="A",0,IF(I22="B",-(1330000)*50%,IF(I22="C",-(1330000)*100%))))*(J22)/$A$5,-3)</f>
        <v>0</v>
      </c>
      <c r="AQ22" s="124"/>
      <c r="AR22" s="118"/>
      <c r="AS22" s="112"/>
      <c r="AT22" s="112"/>
      <c r="AU22" s="112"/>
      <c r="AV22" s="126"/>
      <c r="AW22" s="121">
        <f t="shared" si="17"/>
        <v>6800000</v>
      </c>
      <c r="AX22" s="67">
        <f t="shared" si="6"/>
        <v>31000</v>
      </c>
      <c r="AY22" s="73">
        <v>494400</v>
      </c>
      <c r="AZ22" s="73">
        <v>92700</v>
      </c>
      <c r="BA22" s="73">
        <v>61800</v>
      </c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4">
        <f t="shared" si="10"/>
        <v>679900</v>
      </c>
      <c r="BO22" s="73"/>
      <c r="BP22" s="73"/>
      <c r="BQ22" s="74">
        <f t="shared" si="7"/>
        <v>6120100</v>
      </c>
      <c r="BR22" s="73">
        <v>100000</v>
      </c>
      <c r="BS22" s="73">
        <v>21</v>
      </c>
      <c r="BT22" s="73">
        <f t="shared" si="8"/>
        <v>693000</v>
      </c>
      <c r="BU22" s="74">
        <f t="shared" si="9"/>
        <v>6913100</v>
      </c>
    </row>
    <row r="23" spans="1:73" s="51" customFormat="1" ht="48" customHeight="1" x14ac:dyDescent="0.25">
      <c r="A23" s="35"/>
      <c r="B23" s="66"/>
      <c r="C23" s="64"/>
      <c r="D23" s="111"/>
      <c r="E23" s="113"/>
      <c r="F23" s="20"/>
      <c r="G23" s="21"/>
      <c r="H23" s="21"/>
      <c r="I23" s="112"/>
      <c r="J23" s="113"/>
      <c r="K23" s="113"/>
      <c r="L23" s="113"/>
      <c r="M23" s="113"/>
      <c r="N23" s="113"/>
      <c r="O23" s="113"/>
      <c r="P23" s="122"/>
      <c r="Q23" s="115"/>
      <c r="R23" s="115"/>
      <c r="S23" s="115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2"/>
      <c r="AE23" s="117"/>
      <c r="AF23" s="118"/>
      <c r="AG23" s="118"/>
      <c r="AH23" s="118"/>
      <c r="AI23" s="118"/>
      <c r="AJ23" s="118"/>
      <c r="AK23" s="119"/>
      <c r="AL23" s="107"/>
      <c r="AM23" s="107"/>
      <c r="AN23" s="107"/>
      <c r="AO23" s="107"/>
      <c r="AP23" s="120"/>
      <c r="AQ23" s="124"/>
      <c r="AR23" s="118"/>
      <c r="AS23" s="112"/>
      <c r="AT23" s="112"/>
      <c r="AU23" s="112"/>
      <c r="AV23" s="126"/>
      <c r="AW23" s="121"/>
      <c r="AX23" s="67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4"/>
      <c r="BO23" s="73"/>
      <c r="BP23" s="73"/>
      <c r="BQ23" s="74"/>
      <c r="BR23" s="73"/>
      <c r="BS23" s="73"/>
      <c r="BT23" s="73"/>
      <c r="BU23" s="74"/>
    </row>
    <row r="24" spans="1:73" s="50" customFormat="1" ht="48" customHeight="1" x14ac:dyDescent="0.25">
      <c r="A24" s="35">
        <v>13</v>
      </c>
      <c r="B24" s="63" t="s">
        <v>28</v>
      </c>
      <c r="C24" s="65" t="s">
        <v>57</v>
      </c>
      <c r="D24" s="113">
        <v>9620000</v>
      </c>
      <c r="E24" s="113"/>
      <c r="F24" s="20">
        <v>6500000</v>
      </c>
      <c r="G24" s="21">
        <v>6450000</v>
      </c>
      <c r="H24" s="21"/>
      <c r="I24" s="112" t="s">
        <v>21</v>
      </c>
      <c r="J24" s="113">
        <v>21</v>
      </c>
      <c r="K24" s="113">
        <v>1</v>
      </c>
      <c r="L24" s="113">
        <v>0</v>
      </c>
      <c r="M24" s="113">
        <v>0</v>
      </c>
      <c r="N24" s="113"/>
      <c r="O24" s="113">
        <v>0</v>
      </c>
      <c r="P24" s="122">
        <v>46.5</v>
      </c>
      <c r="Q24" s="115"/>
      <c r="R24" s="115"/>
      <c r="S24" s="115">
        <v>0</v>
      </c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2">
        <f>ROUND(F24*(J24)/$A$5,-3)</f>
        <v>6205000</v>
      </c>
      <c r="AE24" s="117">
        <f>ROUND(IF(I24="A",(D24-F24)*(J24)/$A$5,IF(I24="B",(D24-F24)*0.5*(J24)/$A$5*$B$5,IF(I24="C",0))),-3)</f>
        <v>2978000</v>
      </c>
      <c r="AF24" s="118">
        <f t="shared" si="13"/>
        <v>293000</v>
      </c>
      <c r="AG24" s="118"/>
      <c r="AH24" s="118">
        <f t="shared" si="5"/>
        <v>0</v>
      </c>
      <c r="AI24" s="118">
        <f>ROUND(G24*(L24)/$A$5,-3)</f>
        <v>0</v>
      </c>
      <c r="AJ24" s="118">
        <f t="shared" si="15"/>
        <v>0</v>
      </c>
      <c r="AK24" s="119">
        <f t="shared" si="18"/>
        <v>14694000</v>
      </c>
      <c r="AL24" s="107">
        <f>ROUND((X24*39000+Z24*39000+AB24*39000),-3)</f>
        <v>0</v>
      </c>
      <c r="AM24" s="107">
        <f>ROUND((AC24*52000+AA24*48600+Y24*52000),-3)</f>
        <v>0</v>
      </c>
      <c r="AN24" s="107">
        <f>ROUND((T24*39000+V24*39000),-3)</f>
        <v>0</v>
      </c>
      <c r="AO24" s="107">
        <f t="shared" si="4"/>
        <v>0</v>
      </c>
      <c r="AP24" s="120">
        <f>ROUND((IF(I24="A",0,IF(I24="B",-(1330000)*50%,IF(I24="C",-(1330000)*100%))))*(J24)/$A$5,-3)</f>
        <v>0</v>
      </c>
      <c r="AQ24" s="124"/>
      <c r="AR24" s="118">
        <f>E24*(J24+K24)/$A$5</f>
        <v>0</v>
      </c>
      <c r="AS24" s="118"/>
      <c r="AT24" s="118"/>
      <c r="AU24" s="118"/>
      <c r="AV24" s="126"/>
      <c r="AW24" s="121">
        <f t="shared" si="17"/>
        <v>24170000</v>
      </c>
      <c r="AX24" s="67">
        <f t="shared" si="6"/>
        <v>118000</v>
      </c>
      <c r="AY24" s="73">
        <v>468800</v>
      </c>
      <c r="AZ24" s="73">
        <v>87900</v>
      </c>
      <c r="BA24" s="73">
        <v>58600</v>
      </c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4">
        <f t="shared" si="10"/>
        <v>733300</v>
      </c>
      <c r="BO24" s="73"/>
      <c r="BP24" s="73"/>
      <c r="BQ24" s="74">
        <f t="shared" si="7"/>
        <v>23436700</v>
      </c>
      <c r="BR24" s="73">
        <v>100000</v>
      </c>
      <c r="BS24" s="73">
        <v>21</v>
      </c>
      <c r="BT24" s="73">
        <f t="shared" si="8"/>
        <v>693000</v>
      </c>
      <c r="BU24" s="74">
        <f t="shared" si="9"/>
        <v>24229700</v>
      </c>
    </row>
    <row r="25" spans="1:73" s="50" customFormat="1" ht="48" customHeight="1" x14ac:dyDescent="0.25">
      <c r="A25" s="35">
        <v>14</v>
      </c>
      <c r="B25" s="66" t="s">
        <v>48</v>
      </c>
      <c r="C25" s="65" t="s">
        <v>57</v>
      </c>
      <c r="D25" s="113">
        <v>9180000</v>
      </c>
      <c r="E25" s="113"/>
      <c r="F25" s="20">
        <v>6500000</v>
      </c>
      <c r="G25" s="21">
        <v>6140000</v>
      </c>
      <c r="H25" s="21"/>
      <c r="I25" s="112" t="s">
        <v>21</v>
      </c>
      <c r="J25" s="113">
        <v>21</v>
      </c>
      <c r="K25" s="113">
        <v>1</v>
      </c>
      <c r="L25" s="113">
        <v>0</v>
      </c>
      <c r="M25" s="113">
        <v>0</v>
      </c>
      <c r="N25" s="113"/>
      <c r="O25" s="113"/>
      <c r="P25" s="122">
        <v>46.25</v>
      </c>
      <c r="Q25" s="115"/>
      <c r="R25" s="115"/>
      <c r="S25" s="115">
        <v>0</v>
      </c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2">
        <f>ROUND(F25*(J25)/$A$5,-3)</f>
        <v>6205000</v>
      </c>
      <c r="AE25" s="117">
        <f>ROUND(IF(I25="A",(D25-F25)*(J25)/$A$5,IF(I25="B",(D25-F25)*0.5*(J25)/$A$5*$B$5,IF(I25="C",0))),-3)</f>
        <v>2558000</v>
      </c>
      <c r="AF25" s="118">
        <f t="shared" si="13"/>
        <v>279000</v>
      </c>
      <c r="AG25" s="118"/>
      <c r="AH25" s="118">
        <f t="shared" si="5"/>
        <v>0</v>
      </c>
      <c r="AI25" s="118">
        <f>ROUND(G25*(L25)/$A$5,-3)</f>
        <v>0</v>
      </c>
      <c r="AJ25" s="118">
        <f t="shared" si="15"/>
        <v>0</v>
      </c>
      <c r="AK25" s="119">
        <f t="shared" si="18"/>
        <v>14615000</v>
      </c>
      <c r="AL25" s="107">
        <f>ROUND((X25*39000+Z25*39000+AB25*39000),-3)</f>
        <v>0</v>
      </c>
      <c r="AM25" s="107">
        <f>ROUND((AC25*52000+AA25*48600+Y25*52000),-3)</f>
        <v>0</v>
      </c>
      <c r="AN25" s="107">
        <f>ROUND((T25*39000+V25*39000),-3)</f>
        <v>0</v>
      </c>
      <c r="AO25" s="107">
        <f t="shared" si="4"/>
        <v>0</v>
      </c>
      <c r="AP25" s="120">
        <f>ROUND((IF(I25="A",0,IF(I25="B",-(1330000)*50%,IF(I25="C",-(1330000)*100%))))*(J25)/$A$5,-3)</f>
        <v>0</v>
      </c>
      <c r="AQ25" s="123"/>
      <c r="AR25" s="118">
        <f>E25*(J25+K25)/$A$5</f>
        <v>0</v>
      </c>
      <c r="AS25" s="118"/>
      <c r="AT25" s="118"/>
      <c r="AU25" s="118"/>
      <c r="AV25" s="126"/>
      <c r="AW25" s="121">
        <f t="shared" si="17"/>
        <v>23657000</v>
      </c>
      <c r="AX25" s="67">
        <f t="shared" si="6"/>
        <v>115000</v>
      </c>
      <c r="AY25" s="73">
        <v>446400</v>
      </c>
      <c r="AZ25" s="73">
        <v>83700</v>
      </c>
      <c r="BA25" s="73">
        <v>55800</v>
      </c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4">
        <f t="shared" si="10"/>
        <v>700900</v>
      </c>
      <c r="BO25" s="73"/>
      <c r="BP25" s="73"/>
      <c r="BQ25" s="74">
        <f t="shared" si="7"/>
        <v>22956100</v>
      </c>
      <c r="BR25" s="73">
        <v>100000</v>
      </c>
      <c r="BS25" s="73">
        <v>21</v>
      </c>
      <c r="BT25" s="73">
        <f t="shared" si="8"/>
        <v>693000</v>
      </c>
      <c r="BU25" s="74">
        <f t="shared" si="9"/>
        <v>23749100</v>
      </c>
    </row>
    <row r="26" spans="1:73" s="50" customFormat="1" ht="48" customHeight="1" x14ac:dyDescent="0.25">
      <c r="A26" s="35">
        <v>15</v>
      </c>
      <c r="B26" s="66" t="s">
        <v>55</v>
      </c>
      <c r="C26" s="65" t="s">
        <v>57</v>
      </c>
      <c r="D26" s="113">
        <v>9180000</v>
      </c>
      <c r="E26" s="113"/>
      <c r="F26" s="20">
        <v>6500000</v>
      </c>
      <c r="G26" s="21">
        <v>6140000</v>
      </c>
      <c r="H26" s="21"/>
      <c r="I26" s="112" t="s">
        <v>21</v>
      </c>
      <c r="J26" s="113">
        <v>21</v>
      </c>
      <c r="K26" s="113">
        <v>1</v>
      </c>
      <c r="L26" s="113">
        <v>0</v>
      </c>
      <c r="M26" s="113">
        <v>0</v>
      </c>
      <c r="N26" s="113"/>
      <c r="O26" s="113">
        <v>0</v>
      </c>
      <c r="P26" s="122">
        <v>46.5</v>
      </c>
      <c r="Q26" s="115"/>
      <c r="R26" s="115"/>
      <c r="S26" s="115">
        <v>0</v>
      </c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2">
        <f>ROUND(F26*(J26)/$A$5,-3)</f>
        <v>6205000</v>
      </c>
      <c r="AE26" s="117">
        <f>ROUND(IF(I26="A",(D26-F26)*(J26)/$A$5,IF(I26="B",(D26-F26)*0.5*(J26)/$A$5*$B$5,IF(I26="C",0))),-3)</f>
        <v>2558000</v>
      </c>
      <c r="AF26" s="118">
        <f t="shared" si="13"/>
        <v>279000</v>
      </c>
      <c r="AG26" s="118"/>
      <c r="AH26" s="118">
        <f t="shared" si="5"/>
        <v>0</v>
      </c>
      <c r="AI26" s="118">
        <f>ROUND(G26*(L26)/$A$5,-3)</f>
        <v>0</v>
      </c>
      <c r="AJ26" s="118">
        <f t="shared" si="15"/>
        <v>0</v>
      </c>
      <c r="AK26" s="119">
        <f t="shared" si="18"/>
        <v>14694000</v>
      </c>
      <c r="AL26" s="107">
        <f>ROUND((X26*39000+Z26*39000+AB26*39000),-3)</f>
        <v>0</v>
      </c>
      <c r="AM26" s="107">
        <f>ROUND((AC26*52000+AA26*48600+Y26*52000),-3)</f>
        <v>0</v>
      </c>
      <c r="AN26" s="107">
        <f>ROUND((T26*39000+V26*39000),-3)</f>
        <v>0</v>
      </c>
      <c r="AO26" s="107">
        <f t="shared" si="4"/>
        <v>0</v>
      </c>
      <c r="AP26" s="120">
        <f>ROUND((IF(I26="A",0,IF(I26="B",-(1330000)*50%,IF(I26="C",-(1330000)*100%))))*(J26)/$A$5,-3)</f>
        <v>0</v>
      </c>
      <c r="AQ26" s="124"/>
      <c r="AR26" s="118">
        <f>E26*(J26+K26)/$A$5</f>
        <v>0</v>
      </c>
      <c r="AS26" s="112"/>
      <c r="AT26" s="112"/>
      <c r="AU26" s="112"/>
      <c r="AV26" s="126"/>
      <c r="AW26" s="121">
        <f t="shared" si="17"/>
        <v>23736000</v>
      </c>
      <c r="AX26" s="67">
        <f t="shared" si="6"/>
        <v>116000</v>
      </c>
      <c r="AY26" s="73">
        <v>446400</v>
      </c>
      <c r="AZ26" s="73">
        <v>83700</v>
      </c>
      <c r="BA26" s="73">
        <v>55800</v>
      </c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4">
        <f t="shared" si="10"/>
        <v>701900</v>
      </c>
      <c r="BO26" s="73"/>
      <c r="BP26" s="73"/>
      <c r="BQ26" s="74">
        <f t="shared" si="7"/>
        <v>23034100</v>
      </c>
      <c r="BR26" s="73">
        <v>100000</v>
      </c>
      <c r="BS26" s="73">
        <v>21</v>
      </c>
      <c r="BT26" s="73">
        <f t="shared" si="8"/>
        <v>693000</v>
      </c>
      <c r="BU26" s="74">
        <f t="shared" si="9"/>
        <v>23827100</v>
      </c>
    </row>
    <row r="27" spans="1:73" s="50" customFormat="1" ht="48" customHeight="1" x14ac:dyDescent="0.25">
      <c r="A27" s="79">
        <v>16</v>
      </c>
      <c r="B27" s="80" t="s">
        <v>46</v>
      </c>
      <c r="C27" s="81" t="s">
        <v>24</v>
      </c>
      <c r="D27" s="127">
        <v>15440000</v>
      </c>
      <c r="E27" s="128"/>
      <c r="F27" s="129">
        <v>6500000</v>
      </c>
      <c r="G27" s="128">
        <v>7510000</v>
      </c>
      <c r="H27" s="128"/>
      <c r="I27" s="130" t="s">
        <v>21</v>
      </c>
      <c r="J27" s="131">
        <v>21</v>
      </c>
      <c r="K27" s="131">
        <v>1</v>
      </c>
      <c r="L27" s="131">
        <v>0</v>
      </c>
      <c r="M27" s="131">
        <v>0</v>
      </c>
      <c r="N27" s="131"/>
      <c r="O27" s="131">
        <v>0</v>
      </c>
      <c r="P27" s="132">
        <v>0</v>
      </c>
      <c r="Q27" s="133"/>
      <c r="R27" s="133"/>
      <c r="S27" s="133">
        <v>0</v>
      </c>
      <c r="T27" s="134">
        <v>100</v>
      </c>
      <c r="U27" s="134"/>
      <c r="V27" s="134">
        <v>0</v>
      </c>
      <c r="W27" s="134"/>
      <c r="X27" s="134"/>
      <c r="Y27" s="134"/>
      <c r="Z27" s="134">
        <v>30.400000000000006</v>
      </c>
      <c r="AA27" s="134"/>
      <c r="AB27" s="134">
        <v>2</v>
      </c>
      <c r="AC27" s="134"/>
      <c r="AD27" s="130">
        <f>ROUND(F27*(J27)/$A$5*$B$5,-3)</f>
        <v>6205000</v>
      </c>
      <c r="AE27" s="135">
        <f>ROUND(IF(I27="A",(D27-F27-4500000)*(J27)/$A$5*$B$5,IF(I27="B",(D27-F27-4500000)*0.5*(J27)/$A$5*$B$5,IF(I27="C",0))),-3)</f>
        <v>4238000</v>
      </c>
      <c r="AF27" s="136">
        <f t="shared" si="13"/>
        <v>341000</v>
      </c>
      <c r="AG27" s="136"/>
      <c r="AH27" s="136"/>
      <c r="AI27" s="136">
        <f>ROUND(G27*(L27)/$A$5,-3)</f>
        <v>0</v>
      </c>
      <c r="AJ27" s="137"/>
      <c r="AK27" s="138">
        <f t="shared" si="18"/>
        <v>0</v>
      </c>
      <c r="AL27" s="139">
        <f>ROUND((X27*43000+Z27*43000+AB27*43000),-3)</f>
        <v>1393000</v>
      </c>
      <c r="AM27" s="139">
        <f>ROUND((AC27*54000+AA27*54000+Y27*57000),-3)</f>
        <v>0</v>
      </c>
      <c r="AN27" s="139">
        <f>ROUND((T27*43000+V27*43000),-3)</f>
        <v>4300000</v>
      </c>
      <c r="AO27" s="139">
        <f t="shared" si="4"/>
        <v>0</v>
      </c>
      <c r="AP27" s="140">
        <f>ROUND((IF(I27="A",0,IF(I27="B",-(1330000)*50%,IF(I27="C",-(1330000)*100%))))*(J27)/$A$5,-3)</f>
        <v>0</v>
      </c>
      <c r="AQ27" s="141"/>
      <c r="AR27" s="136"/>
      <c r="AS27" s="136"/>
      <c r="AT27" s="136"/>
      <c r="AU27" s="136"/>
      <c r="AV27" s="136"/>
      <c r="AW27" s="142">
        <f t="shared" si="17"/>
        <v>16477000</v>
      </c>
      <c r="AX27" s="82">
        <f t="shared" si="6"/>
        <v>79000</v>
      </c>
      <c r="AY27" s="83">
        <v>546400</v>
      </c>
      <c r="AZ27" s="83">
        <v>102450</v>
      </c>
      <c r="BA27" s="83">
        <v>68300</v>
      </c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4">
        <f t="shared" si="10"/>
        <v>796150</v>
      </c>
      <c r="BO27" s="83"/>
      <c r="BP27" s="83"/>
      <c r="BQ27" s="84">
        <f t="shared" si="7"/>
        <v>15680850</v>
      </c>
      <c r="BR27" s="83">
        <v>100000</v>
      </c>
      <c r="BS27" s="83">
        <v>21</v>
      </c>
      <c r="BT27" s="83">
        <f t="shared" si="8"/>
        <v>693000</v>
      </c>
      <c r="BU27" s="84">
        <f t="shared" si="9"/>
        <v>16473850</v>
      </c>
    </row>
    <row r="28" spans="1:73" s="52" customFormat="1" ht="48" customHeight="1" x14ac:dyDescent="0.25">
      <c r="A28" s="85"/>
      <c r="B28" s="85" t="s">
        <v>29</v>
      </c>
      <c r="C28" s="85"/>
      <c r="D28" s="143">
        <f t="shared" ref="D28:AW28" si="19">SUM(D11:D14)+SUM(D15:D27)</f>
        <v>225510000</v>
      </c>
      <c r="E28" s="143">
        <f t="shared" si="19"/>
        <v>1470000</v>
      </c>
      <c r="F28" s="143">
        <f t="shared" si="19"/>
        <v>104000000</v>
      </c>
      <c r="G28" s="143">
        <f t="shared" si="19"/>
        <v>115170000</v>
      </c>
      <c r="H28" s="143">
        <f t="shared" si="19"/>
        <v>1470000</v>
      </c>
      <c r="I28" s="143">
        <f t="shared" si="19"/>
        <v>0</v>
      </c>
      <c r="J28" s="143">
        <f t="shared" si="19"/>
        <v>315</v>
      </c>
      <c r="K28" s="143">
        <f t="shared" si="19"/>
        <v>16</v>
      </c>
      <c r="L28" s="143">
        <f t="shared" si="19"/>
        <v>21</v>
      </c>
      <c r="M28" s="143">
        <f t="shared" si="19"/>
        <v>0</v>
      </c>
      <c r="N28" s="143">
        <f t="shared" si="19"/>
        <v>0</v>
      </c>
      <c r="O28" s="143">
        <f t="shared" si="19"/>
        <v>0</v>
      </c>
      <c r="P28" s="144">
        <f t="shared" si="19"/>
        <v>261.25</v>
      </c>
      <c r="Q28" s="143">
        <f t="shared" si="19"/>
        <v>0</v>
      </c>
      <c r="R28" s="143">
        <f t="shared" si="19"/>
        <v>0</v>
      </c>
      <c r="S28" s="143">
        <f t="shared" si="19"/>
        <v>0</v>
      </c>
      <c r="T28" s="143">
        <f t="shared" si="19"/>
        <v>710</v>
      </c>
      <c r="U28" s="143">
        <f t="shared" si="19"/>
        <v>0</v>
      </c>
      <c r="V28" s="143">
        <f t="shared" si="19"/>
        <v>240</v>
      </c>
      <c r="W28" s="143">
        <f t="shared" si="19"/>
        <v>0</v>
      </c>
      <c r="X28" s="143">
        <f t="shared" si="19"/>
        <v>54.3</v>
      </c>
      <c r="Y28" s="143">
        <f t="shared" si="19"/>
        <v>0</v>
      </c>
      <c r="Z28" s="143">
        <f t="shared" si="19"/>
        <v>69.433333333333337</v>
      </c>
      <c r="AA28" s="143">
        <f t="shared" si="19"/>
        <v>0</v>
      </c>
      <c r="AB28" s="143">
        <f t="shared" si="19"/>
        <v>184.86666666666667</v>
      </c>
      <c r="AC28" s="143">
        <f t="shared" si="19"/>
        <v>15</v>
      </c>
      <c r="AD28" s="143">
        <f t="shared" si="19"/>
        <v>93370000</v>
      </c>
      <c r="AE28" s="143">
        <f t="shared" si="19"/>
        <v>59860000</v>
      </c>
      <c r="AF28" s="143">
        <f t="shared" si="19"/>
        <v>4783000</v>
      </c>
      <c r="AG28" s="143">
        <f t="shared" si="19"/>
        <v>0</v>
      </c>
      <c r="AH28" s="143">
        <f t="shared" si="19"/>
        <v>0</v>
      </c>
      <c r="AI28" s="143">
        <f t="shared" si="19"/>
        <v>6491000</v>
      </c>
      <c r="AJ28" s="143">
        <f t="shared" si="19"/>
        <v>0</v>
      </c>
      <c r="AK28" s="143">
        <f t="shared" si="19"/>
        <v>82555000</v>
      </c>
      <c r="AL28" s="143">
        <f t="shared" si="19"/>
        <v>13270000</v>
      </c>
      <c r="AM28" s="143">
        <f t="shared" si="19"/>
        <v>810000</v>
      </c>
      <c r="AN28" s="143">
        <f t="shared" si="19"/>
        <v>40850000</v>
      </c>
      <c r="AO28" s="143">
        <f t="shared" si="19"/>
        <v>0</v>
      </c>
      <c r="AP28" s="143">
        <f t="shared" si="19"/>
        <v>0</v>
      </c>
      <c r="AQ28" s="143">
        <f t="shared" si="19"/>
        <v>1470000</v>
      </c>
      <c r="AR28" s="143">
        <f t="shared" si="19"/>
        <v>0</v>
      </c>
      <c r="AS28" s="143">
        <f t="shared" si="19"/>
        <v>31100000</v>
      </c>
      <c r="AT28" s="143">
        <f t="shared" si="19"/>
        <v>0</v>
      </c>
      <c r="AU28" s="143">
        <f t="shared" si="19"/>
        <v>0</v>
      </c>
      <c r="AV28" s="143">
        <f t="shared" si="19"/>
        <v>0</v>
      </c>
      <c r="AW28" s="143">
        <f t="shared" si="19"/>
        <v>334559000</v>
      </c>
      <c r="AX28" s="143">
        <f t="shared" ref="AX28:BU28" si="20">SUM(AX11:AX14)+SUM(AX15:AX27)</f>
        <v>1616000</v>
      </c>
      <c r="AY28" s="143">
        <f t="shared" si="20"/>
        <v>8493600</v>
      </c>
      <c r="AZ28" s="143">
        <f t="shared" si="20"/>
        <v>1592550</v>
      </c>
      <c r="BA28" s="143">
        <f t="shared" si="20"/>
        <v>1061700</v>
      </c>
      <c r="BB28" s="143">
        <f t="shared" si="20"/>
        <v>0</v>
      </c>
      <c r="BC28" s="143">
        <f t="shared" si="20"/>
        <v>0</v>
      </c>
      <c r="BD28" s="143">
        <f t="shared" si="20"/>
        <v>0</v>
      </c>
      <c r="BE28" s="143">
        <f t="shared" si="20"/>
        <v>0</v>
      </c>
      <c r="BF28" s="143">
        <f t="shared" si="20"/>
        <v>0</v>
      </c>
      <c r="BG28" s="143">
        <f t="shared" si="20"/>
        <v>0</v>
      </c>
      <c r="BH28" s="143">
        <f t="shared" si="20"/>
        <v>0</v>
      </c>
      <c r="BI28" s="143">
        <f t="shared" si="20"/>
        <v>0</v>
      </c>
      <c r="BJ28" s="143">
        <f t="shared" si="20"/>
        <v>2022000</v>
      </c>
      <c r="BK28" s="143">
        <f t="shared" si="20"/>
        <v>0</v>
      </c>
      <c r="BL28" s="143">
        <f t="shared" si="20"/>
        <v>0</v>
      </c>
      <c r="BM28" s="143">
        <f t="shared" si="20"/>
        <v>0</v>
      </c>
      <c r="BN28" s="143">
        <f t="shared" si="20"/>
        <v>14785850</v>
      </c>
      <c r="BO28" s="143">
        <f t="shared" si="20"/>
        <v>160000</v>
      </c>
      <c r="BP28" s="143">
        <f t="shared" si="20"/>
        <v>0</v>
      </c>
      <c r="BQ28" s="143">
        <f t="shared" si="20"/>
        <v>319933150</v>
      </c>
      <c r="BR28" s="143">
        <f t="shared" si="20"/>
        <v>1600000</v>
      </c>
      <c r="BS28" s="143">
        <f t="shared" si="20"/>
        <v>336</v>
      </c>
      <c r="BT28" s="143">
        <f t="shared" si="20"/>
        <v>11088000</v>
      </c>
      <c r="BU28" s="143">
        <f t="shared" si="20"/>
        <v>332621150</v>
      </c>
    </row>
    <row r="29" spans="1:73" ht="6" customHeight="1" x14ac:dyDescent="0.25">
      <c r="A29" s="13"/>
      <c r="B29" s="13"/>
      <c r="C29" s="13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6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47"/>
      <c r="BJ29" s="17"/>
      <c r="BK29" s="17"/>
      <c r="BL29" s="17"/>
      <c r="BM29" s="17"/>
      <c r="BN29" s="17"/>
      <c r="BO29" s="17"/>
      <c r="BP29" s="17"/>
      <c r="BQ29" s="147"/>
      <c r="BR29" s="17"/>
      <c r="BS29" s="17"/>
      <c r="BT29" s="17"/>
      <c r="BU29" s="17"/>
    </row>
    <row r="30" spans="1:73" x14ac:dyDescent="0.25">
      <c r="D30" s="148"/>
      <c r="E30" s="148"/>
      <c r="F30" s="148"/>
      <c r="G30" s="148"/>
      <c r="H30" s="148"/>
      <c r="I30" s="149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52"/>
      <c r="AR30" s="148"/>
      <c r="AS30" s="148"/>
      <c r="AT30" s="148"/>
      <c r="AU30" s="148"/>
      <c r="AV30" s="148"/>
      <c r="AW30" s="150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4">
        <f>BQ28+BN28-BO28</f>
        <v>334559000</v>
      </c>
      <c r="BR30" s="153"/>
      <c r="BS30" s="153"/>
      <c r="BT30" s="153"/>
      <c r="BU30" s="153"/>
    </row>
    <row r="41" spans="74:75" x14ac:dyDescent="0.25">
      <c r="BV41" s="58"/>
      <c r="BW41" s="58"/>
    </row>
    <row r="42" spans="74:75" x14ac:dyDescent="0.25">
      <c r="BV42" s="58"/>
      <c r="BW42" s="58"/>
    </row>
    <row r="43" spans="74:75" x14ac:dyDescent="0.25">
      <c r="BV43" s="58"/>
      <c r="BW43" s="58"/>
    </row>
    <row r="44" spans="74:75" x14ac:dyDescent="0.25">
      <c r="BV44" s="58"/>
      <c r="BW44" s="58"/>
    </row>
    <row r="45" spans="74:75" x14ac:dyDescent="0.25">
      <c r="BV45" s="58"/>
      <c r="BW45" s="58"/>
    </row>
    <row r="46" spans="74:75" x14ac:dyDescent="0.25">
      <c r="BV46" s="58"/>
      <c r="BW46" s="58"/>
    </row>
    <row r="47" spans="74:75" x14ac:dyDescent="0.25">
      <c r="BV47" s="58"/>
      <c r="BW47" s="58"/>
    </row>
    <row r="48" spans="74:75" x14ac:dyDescent="0.25">
      <c r="BV48" s="58"/>
      <c r="BW48" s="58"/>
    </row>
    <row r="49" spans="1:75" x14ac:dyDescent="0.25">
      <c r="BV49" s="58"/>
      <c r="BW49" s="58"/>
    </row>
    <row r="55" spans="1:75" s="58" customFormat="1" x14ac:dyDescent="0.25">
      <c r="A55" s="53"/>
      <c r="B55" s="47"/>
      <c r="C55" s="47"/>
      <c r="D55" s="47"/>
      <c r="E55" s="47"/>
      <c r="F55" s="47"/>
      <c r="G55" s="47"/>
      <c r="H55" s="47"/>
      <c r="I55" s="54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57"/>
      <c r="AR55" s="47"/>
      <c r="AW55" s="59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47"/>
      <c r="BW55" s="47"/>
    </row>
    <row r="56" spans="1:75" s="58" customFormat="1" x14ac:dyDescent="0.25">
      <c r="A56" s="53"/>
      <c r="B56" s="47"/>
      <c r="C56" s="47"/>
      <c r="D56" s="47"/>
      <c r="E56" s="47"/>
      <c r="F56" s="47"/>
      <c r="G56" s="47"/>
      <c r="H56" s="47"/>
      <c r="I56" s="54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57"/>
      <c r="AR56" s="47"/>
      <c r="AW56" s="59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47"/>
      <c r="BW56" s="47"/>
    </row>
    <row r="57" spans="1:75" s="58" customFormat="1" x14ac:dyDescent="0.25">
      <c r="A57" s="53"/>
      <c r="B57" s="47"/>
      <c r="C57" s="47"/>
      <c r="D57" s="47"/>
      <c r="E57" s="47"/>
      <c r="F57" s="47"/>
      <c r="G57" s="47"/>
      <c r="H57" s="47"/>
      <c r="I57" s="54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57"/>
      <c r="AR57" s="47"/>
      <c r="AW57" s="59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47"/>
      <c r="BW57" s="47"/>
    </row>
    <row r="58" spans="1:75" s="58" customFormat="1" x14ac:dyDescent="0.25">
      <c r="A58" s="53"/>
      <c r="B58" s="47"/>
      <c r="C58" s="47"/>
      <c r="D58" s="47"/>
      <c r="E58" s="47"/>
      <c r="F58" s="47"/>
      <c r="G58" s="47"/>
      <c r="H58" s="47"/>
      <c r="I58" s="54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57"/>
      <c r="AR58" s="47"/>
      <c r="AW58" s="59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47"/>
      <c r="BW58" s="47"/>
    </row>
    <row r="59" spans="1:75" s="58" customFormat="1" x14ac:dyDescent="0.25">
      <c r="A59" s="53"/>
      <c r="B59" s="47"/>
      <c r="C59" s="47"/>
      <c r="D59" s="47"/>
      <c r="E59" s="47"/>
      <c r="F59" s="47"/>
      <c r="G59" s="47"/>
      <c r="H59" s="47"/>
      <c r="I59" s="54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57"/>
      <c r="AR59" s="47"/>
      <c r="AW59" s="59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47"/>
      <c r="BW59" s="47"/>
    </row>
    <row r="60" spans="1:75" s="58" customFormat="1" x14ac:dyDescent="0.25">
      <c r="A60" s="53"/>
      <c r="B60" s="47"/>
      <c r="C60" s="47"/>
      <c r="D60" s="47"/>
      <c r="E60" s="47"/>
      <c r="F60" s="47"/>
      <c r="G60" s="47"/>
      <c r="H60" s="47"/>
      <c r="I60" s="54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57"/>
      <c r="AR60" s="47"/>
      <c r="AW60" s="59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47"/>
      <c r="BW60" s="47"/>
    </row>
    <row r="61" spans="1:75" s="58" customFormat="1" x14ac:dyDescent="0.25">
      <c r="A61" s="53"/>
      <c r="B61" s="47"/>
      <c r="C61" s="47"/>
      <c r="D61" s="47"/>
      <c r="E61" s="47"/>
      <c r="F61" s="47"/>
      <c r="G61" s="47"/>
      <c r="H61" s="47"/>
      <c r="I61" s="54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57"/>
      <c r="AR61" s="47"/>
      <c r="AW61" s="59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47"/>
      <c r="BW61" s="47"/>
    </row>
    <row r="62" spans="1:75" s="58" customFormat="1" x14ac:dyDescent="0.25">
      <c r="A62" s="53"/>
      <c r="B62" s="47"/>
      <c r="C62" s="47"/>
      <c r="D62" s="47"/>
      <c r="E62" s="47"/>
      <c r="F62" s="47"/>
      <c r="G62" s="47"/>
      <c r="H62" s="47"/>
      <c r="I62" s="54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57"/>
      <c r="AR62" s="47"/>
      <c r="AW62" s="59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47"/>
      <c r="BW62" s="47"/>
    </row>
    <row r="63" spans="1:75" s="58" customFormat="1" x14ac:dyDescent="0.25">
      <c r="A63" s="53"/>
      <c r="B63" s="47"/>
      <c r="C63" s="47"/>
      <c r="D63" s="47"/>
      <c r="E63" s="47"/>
      <c r="F63" s="47"/>
      <c r="G63" s="47"/>
      <c r="H63" s="47"/>
      <c r="I63" s="54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57"/>
      <c r="AR63" s="47"/>
      <c r="AW63" s="59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47"/>
      <c r="BW63" s="47"/>
    </row>
  </sheetData>
  <mergeCells count="77">
    <mergeCell ref="A3:AC3"/>
    <mergeCell ref="A4:AC4"/>
    <mergeCell ref="A6:A9"/>
    <mergeCell ref="B6:B9"/>
    <mergeCell ref="C6:C9"/>
    <mergeCell ref="D6:D9"/>
    <mergeCell ref="E6:E9"/>
    <mergeCell ref="F6:F9"/>
    <mergeCell ref="G6:H7"/>
    <mergeCell ref="I6:I9"/>
    <mergeCell ref="M8:M9"/>
    <mergeCell ref="J6:Q7"/>
    <mergeCell ref="R6:S7"/>
    <mergeCell ref="T6:AC6"/>
    <mergeCell ref="G8:G9"/>
    <mergeCell ref="H8:H9"/>
    <mergeCell ref="AD6:AV6"/>
    <mergeCell ref="T7:W7"/>
    <mergeCell ref="X7:AC7"/>
    <mergeCell ref="AD7:AN7"/>
    <mergeCell ref="AP7:AP9"/>
    <mergeCell ref="AS8:AS9"/>
    <mergeCell ref="AT8:AT9"/>
    <mergeCell ref="AK8:AK9"/>
    <mergeCell ref="V8:W8"/>
    <mergeCell ref="X8:Y8"/>
    <mergeCell ref="Z8:AA8"/>
    <mergeCell ref="AB8:AC8"/>
    <mergeCell ref="AD8:AD9"/>
    <mergeCell ref="AE8:AE9"/>
    <mergeCell ref="J8:J9"/>
    <mergeCell ref="K8:K9"/>
    <mergeCell ref="L8:L9"/>
    <mergeCell ref="T8:U8"/>
    <mergeCell ref="AQ7:AV7"/>
    <mergeCell ref="AF8:AF9"/>
    <mergeCell ref="AG8:AG9"/>
    <mergeCell ref="AH8:AH9"/>
    <mergeCell ref="AI8:AI9"/>
    <mergeCell ref="AJ8:AJ9"/>
    <mergeCell ref="AU8:AU9"/>
    <mergeCell ref="AV8:AV9"/>
    <mergeCell ref="AL8:AM8"/>
    <mergeCell ref="AN8:AO8"/>
    <mergeCell ref="AQ8:AQ9"/>
    <mergeCell ref="AR8:AR9"/>
    <mergeCell ref="N8:N9"/>
    <mergeCell ref="O8:O9"/>
    <mergeCell ref="P8:Q8"/>
    <mergeCell ref="R8:R9"/>
    <mergeCell ref="S8:S9"/>
    <mergeCell ref="BN7:BN9"/>
    <mergeCell ref="AX7:AX9"/>
    <mergeCell ref="AY7:AY9"/>
    <mergeCell ref="AZ7:AZ9"/>
    <mergeCell ref="AW6:AW9"/>
    <mergeCell ref="BI7:BI9"/>
    <mergeCell ref="BJ7:BJ9"/>
    <mergeCell ref="BK7:BK9"/>
    <mergeCell ref="BL7:BL9"/>
    <mergeCell ref="BM7:BM9"/>
    <mergeCell ref="BT6:BT9"/>
    <mergeCell ref="BU6:BU9"/>
    <mergeCell ref="BA7:BA9"/>
    <mergeCell ref="BB7:BB9"/>
    <mergeCell ref="BC7:BC9"/>
    <mergeCell ref="BD7:BD9"/>
    <mergeCell ref="BE7:BE9"/>
    <mergeCell ref="BF7:BF9"/>
    <mergeCell ref="BG7:BG9"/>
    <mergeCell ref="BH7:BH9"/>
    <mergeCell ref="AX6:BN6"/>
    <mergeCell ref="BO6:BO9"/>
    <mergeCell ref="BP6:BP9"/>
    <mergeCell ref="BQ6:BQ9"/>
    <mergeCell ref="BR6:BR9"/>
    <mergeCell ref="BS6:BS9"/>
  </mergeCells>
  <pageMargins left="0.23622047244094491" right="0.23622047244094491" top="0.74803149606299213" bottom="0.74803149606299213" header="0.31496062992125984" footer="0.31496062992125984"/>
  <pageSetup paperSize="8" scale="4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3602-E681-46A6-9022-3E4C631F47E2}">
  <sheetPr>
    <pageSetUpPr fitToPage="1"/>
  </sheetPr>
  <dimension ref="A1:BY58"/>
  <sheetViews>
    <sheetView workbookViewId="0">
      <pane xSplit="2" ySplit="10" topLeftCell="AQ26" activePane="bottomRight" state="frozen"/>
      <selection activeCell="BJ16" sqref="BJ16"/>
      <selection pane="topRight" activeCell="BJ16" sqref="BJ16"/>
      <selection pane="bottomLeft" activeCell="BJ16" sqref="BJ16"/>
      <selection pane="bottomRight" activeCell="BJ16" sqref="BJ16"/>
    </sheetView>
  </sheetViews>
  <sheetFormatPr defaultColWidth="5.5703125" defaultRowHeight="15.75" x14ac:dyDescent="0.25"/>
  <cols>
    <col min="1" max="1" width="4.28515625" style="53" customWidth="1"/>
    <col min="2" max="2" width="22" style="47" customWidth="1"/>
    <col min="3" max="3" width="9" style="47" customWidth="1"/>
    <col min="4" max="4" width="13.28515625" style="47" customWidth="1"/>
    <col min="5" max="5" width="9.85546875" style="47" customWidth="1"/>
    <col min="6" max="6" width="11.7109375" style="47" customWidth="1"/>
    <col min="7" max="7" width="13.5703125" style="47" customWidth="1"/>
    <col min="8" max="8" width="10.140625" style="47" customWidth="1"/>
    <col min="9" max="9" width="6.5703125" style="54" customWidth="1"/>
    <col min="10" max="10" width="7.140625" style="53" customWidth="1"/>
    <col min="11" max="11" width="7.28515625" style="53" customWidth="1"/>
    <col min="12" max="12" width="8" style="53" customWidth="1"/>
    <col min="13" max="13" width="9.85546875" style="53" hidden="1" customWidth="1"/>
    <col min="14" max="14" width="8" style="53" hidden="1" customWidth="1"/>
    <col min="15" max="15" width="7.42578125" style="53" hidden="1" customWidth="1"/>
    <col min="16" max="16" width="9.5703125" style="53" customWidth="1"/>
    <col min="17" max="18" width="16" style="53" hidden="1" customWidth="1"/>
    <col min="19" max="19" width="12.28515625" style="53" hidden="1" customWidth="1"/>
    <col min="20" max="20" width="7.7109375" style="55" customWidth="1"/>
    <col min="21" max="21" width="10.7109375" style="55" hidden="1" customWidth="1"/>
    <col min="22" max="22" width="8.42578125" style="55" customWidth="1"/>
    <col min="23" max="25" width="10.7109375" style="55" hidden="1" customWidth="1"/>
    <col min="26" max="26" width="6.85546875" style="55" customWidth="1"/>
    <col min="27" max="27" width="12.5703125" style="55" hidden="1" customWidth="1"/>
    <col min="28" max="29" width="5.7109375" style="55" customWidth="1"/>
    <col min="30" max="30" width="10.85546875" style="47" customWidth="1"/>
    <col min="31" max="31" width="12.28515625" style="47" customWidth="1"/>
    <col min="32" max="32" width="16.28515625" style="47" customWidth="1"/>
    <col min="33" max="34" width="16" style="47" hidden="1" customWidth="1"/>
    <col min="35" max="35" width="9.5703125" style="47" customWidth="1"/>
    <col min="36" max="36" width="15.5703125" style="47" hidden="1" customWidth="1"/>
    <col min="37" max="37" width="11.7109375" style="56" customWidth="1"/>
    <col min="38" max="38" width="10.7109375" style="47" customWidth="1"/>
    <col min="39" max="39" width="9.85546875" style="47" customWidth="1"/>
    <col min="40" max="40" width="11.7109375" style="47" customWidth="1"/>
    <col min="41" max="41" width="16" style="47" hidden="1" customWidth="1"/>
    <col min="42" max="42" width="11.42578125" style="47" hidden="1" customWidth="1"/>
    <col min="43" max="43" width="11.140625" style="57" customWidth="1"/>
    <col min="44" max="44" width="16" style="47" hidden="1" customWidth="1"/>
    <col min="45" max="45" width="14.7109375" style="47" hidden="1" customWidth="1"/>
    <col min="46" max="46" width="10.28515625" style="47" hidden="1" customWidth="1"/>
    <col min="47" max="47" width="16" style="47" hidden="1" customWidth="1"/>
    <col min="48" max="48" width="11.7109375" style="47" customWidth="1"/>
    <col min="49" max="49" width="13" style="53" customWidth="1"/>
    <col min="50" max="50" width="12.28515625" style="47" hidden="1" customWidth="1"/>
    <col min="51" max="52" width="11.140625" style="47" hidden="1" customWidth="1"/>
    <col min="53" max="53" width="10.85546875" style="2" customWidth="1"/>
    <col min="54" max="54" width="10.5703125" style="2" customWidth="1"/>
    <col min="55" max="55" width="10" style="2" customWidth="1"/>
    <col min="56" max="56" width="10.28515625" style="2" customWidth="1"/>
    <col min="57" max="57" width="10" style="2" hidden="1" customWidth="1"/>
    <col min="58" max="58" width="12.28515625" style="2" hidden="1" customWidth="1"/>
    <col min="59" max="59" width="15" style="2" hidden="1" customWidth="1"/>
    <col min="60" max="60" width="10.85546875" style="2" hidden="1" customWidth="1"/>
    <col min="61" max="61" width="17.7109375" style="2" hidden="1" customWidth="1"/>
    <col min="62" max="62" width="11.7109375" style="2" hidden="1" customWidth="1"/>
    <col min="63" max="63" width="16.7109375" style="2" hidden="1" customWidth="1"/>
    <col min="64" max="64" width="10.85546875" style="2" hidden="1" customWidth="1"/>
    <col min="65" max="65" width="9.85546875" style="2" customWidth="1"/>
    <col min="66" max="66" width="14.28515625" style="2" hidden="1" customWidth="1"/>
    <col min="67" max="67" width="12.28515625" style="2" hidden="1" customWidth="1"/>
    <col min="68" max="68" width="12.42578125" style="2" customWidth="1"/>
    <col min="69" max="69" width="10.85546875" style="2" customWidth="1"/>
    <col min="70" max="70" width="8.28515625" style="2" hidden="1" customWidth="1"/>
    <col min="71" max="71" width="10.85546875" style="2" hidden="1" customWidth="1"/>
    <col min="72" max="72" width="12.85546875" style="2" customWidth="1"/>
    <col min="73" max="73" width="8" style="2" hidden="1" customWidth="1"/>
    <col min="74" max="74" width="6.42578125" style="2" customWidth="1"/>
    <col min="75" max="75" width="13.7109375" style="2" customWidth="1"/>
    <col min="76" max="76" width="18.7109375" style="2" customWidth="1"/>
    <col min="77" max="16384" width="5.5703125" style="47"/>
  </cols>
  <sheetData>
    <row r="1" spans="1:77" s="163" customFormat="1" ht="18.75" x14ac:dyDescent="0.25">
      <c r="A1" s="16" t="s">
        <v>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4"/>
      <c r="R1" s="14"/>
      <c r="S1" s="14"/>
      <c r="T1" s="22"/>
      <c r="U1" s="22"/>
      <c r="V1" s="22"/>
      <c r="W1" s="22"/>
      <c r="X1" s="22"/>
      <c r="Y1" s="22"/>
      <c r="Z1" s="22"/>
      <c r="AA1" s="22"/>
      <c r="AB1" s="22"/>
      <c r="AC1" s="22"/>
      <c r="AD1" s="16"/>
      <c r="AE1" s="16"/>
      <c r="AF1" s="16"/>
      <c r="AG1" s="16"/>
      <c r="AH1" s="16"/>
      <c r="AI1" s="16"/>
      <c r="AJ1" s="16"/>
      <c r="AK1" s="23"/>
      <c r="AL1" s="16"/>
      <c r="AM1" s="16"/>
      <c r="AN1" s="16"/>
      <c r="AO1" s="16"/>
      <c r="AP1" s="16"/>
      <c r="AQ1" s="24"/>
      <c r="AR1" s="25"/>
      <c r="AS1" s="25"/>
      <c r="AT1" s="25"/>
      <c r="AU1" s="25"/>
      <c r="AV1" s="16"/>
      <c r="AW1" s="25"/>
      <c r="AX1" s="16"/>
      <c r="AY1" s="16"/>
      <c r="AZ1" s="16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30" t="s">
        <v>71</v>
      </c>
      <c r="BX1" s="31"/>
      <c r="BY1" s="47"/>
    </row>
    <row r="2" spans="1:77" s="163" customFormat="1" ht="18.75" x14ac:dyDescent="0.25">
      <c r="A2" s="15" t="s">
        <v>68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4"/>
      <c r="R2" s="14"/>
      <c r="S2" s="14"/>
      <c r="T2" s="26"/>
      <c r="U2" s="26"/>
      <c r="V2" s="26"/>
      <c r="W2" s="26"/>
      <c r="X2" s="26"/>
      <c r="Y2" s="26"/>
      <c r="Z2" s="26"/>
      <c r="AA2" s="26"/>
      <c r="AB2" s="26"/>
      <c r="AC2" s="26"/>
      <c r="AD2" s="27"/>
      <c r="AE2" s="27"/>
      <c r="AF2" s="27"/>
      <c r="AG2" s="27"/>
      <c r="AH2" s="27"/>
      <c r="AI2" s="27"/>
      <c r="AJ2" s="27"/>
      <c r="AK2" s="28"/>
      <c r="AL2" s="27"/>
      <c r="AM2" s="27"/>
      <c r="AN2" s="27"/>
      <c r="AO2" s="27"/>
      <c r="AP2" s="27"/>
      <c r="AQ2" s="29"/>
      <c r="AR2" s="14"/>
      <c r="AS2" s="14"/>
      <c r="AT2" s="14"/>
      <c r="AU2" s="14"/>
      <c r="AV2" s="16"/>
      <c r="AW2" s="25"/>
      <c r="AX2" s="16"/>
      <c r="AY2" s="16"/>
      <c r="AZ2" s="16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31"/>
      <c r="BX2" s="31"/>
      <c r="BY2" s="47"/>
    </row>
    <row r="3" spans="1:77" s="163" customFormat="1" ht="31.15" customHeight="1" x14ac:dyDescent="0.3">
      <c r="A3" s="448" t="s">
        <v>122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4"/>
      <c r="AY3" s="14"/>
      <c r="AZ3" s="14"/>
      <c r="BA3" s="60"/>
      <c r="BB3" s="60"/>
      <c r="BC3" s="60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72"/>
      <c r="BW3" s="38"/>
      <c r="BX3" s="38"/>
      <c r="BY3" s="71"/>
    </row>
    <row r="4" spans="1:77" s="163" customFormat="1" ht="17.45" customHeight="1" x14ac:dyDescent="0.25">
      <c r="A4" s="449" t="s">
        <v>69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49"/>
      <c r="AB4" s="449"/>
      <c r="AC4" s="449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2"/>
      <c r="BB4" s="12"/>
      <c r="BC4" s="12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2"/>
      <c r="BW4" s="30"/>
      <c r="BX4" s="31"/>
      <c r="BY4" s="47"/>
    </row>
    <row r="5" spans="1:77" ht="26.65" customHeight="1" x14ac:dyDescent="0.25">
      <c r="A5" s="44">
        <v>20</v>
      </c>
      <c r="B5" s="86">
        <v>0.85</v>
      </c>
      <c r="C5" s="33">
        <v>1</v>
      </c>
      <c r="D5" s="7"/>
      <c r="E5" s="7"/>
      <c r="F5" s="7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8"/>
      <c r="U5" s="8"/>
      <c r="V5" s="8"/>
      <c r="W5" s="8"/>
      <c r="X5" s="8"/>
      <c r="Y5" s="8"/>
      <c r="Z5" s="8"/>
      <c r="AA5" s="8"/>
      <c r="AB5" s="8"/>
      <c r="AC5" s="8"/>
      <c r="AD5" s="9"/>
      <c r="AE5" s="9"/>
      <c r="AF5" s="9"/>
      <c r="AG5" s="34">
        <v>0.6</v>
      </c>
      <c r="AH5" s="9"/>
      <c r="AI5" s="9"/>
      <c r="AJ5" s="9"/>
      <c r="AK5" s="10"/>
      <c r="AL5" s="9"/>
      <c r="AM5" s="5"/>
      <c r="AN5" s="5"/>
      <c r="AO5" s="5"/>
      <c r="AP5" s="5"/>
      <c r="AQ5" s="11"/>
      <c r="AR5" s="5"/>
      <c r="AS5" s="5"/>
      <c r="AT5" s="5"/>
      <c r="AU5" s="5"/>
      <c r="AV5" s="5"/>
      <c r="AW5" s="1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227" t="s">
        <v>127</v>
      </c>
      <c r="BR5" s="5"/>
      <c r="BS5" s="5"/>
      <c r="BT5" s="5"/>
      <c r="BU5" s="5"/>
      <c r="BV5" s="5"/>
      <c r="BW5" s="39">
        <v>33000</v>
      </c>
      <c r="BX5" s="32"/>
    </row>
    <row r="6" spans="1:77" s="155" customFormat="1" ht="22.15" customHeight="1" x14ac:dyDescent="0.25">
      <c r="A6" s="415" t="s">
        <v>0</v>
      </c>
      <c r="B6" s="415" t="s">
        <v>1</v>
      </c>
      <c r="C6" s="415" t="s">
        <v>2</v>
      </c>
      <c r="D6" s="415" t="s">
        <v>3</v>
      </c>
      <c r="E6" s="415" t="s">
        <v>4</v>
      </c>
      <c r="F6" s="415" t="s">
        <v>73</v>
      </c>
      <c r="G6" s="436" t="s">
        <v>113</v>
      </c>
      <c r="H6" s="437"/>
      <c r="I6" s="415" t="s">
        <v>5</v>
      </c>
      <c r="J6" s="436" t="s">
        <v>6</v>
      </c>
      <c r="K6" s="440"/>
      <c r="L6" s="440"/>
      <c r="M6" s="440"/>
      <c r="N6" s="440"/>
      <c r="O6" s="440"/>
      <c r="P6" s="440"/>
      <c r="Q6" s="437"/>
      <c r="R6" s="442" t="s">
        <v>7</v>
      </c>
      <c r="S6" s="443"/>
      <c r="T6" s="446" t="s">
        <v>123</v>
      </c>
      <c r="U6" s="447"/>
      <c r="V6" s="447"/>
      <c r="W6" s="447"/>
      <c r="X6" s="447"/>
      <c r="Y6" s="447"/>
      <c r="Z6" s="447"/>
      <c r="AA6" s="447"/>
      <c r="AB6" s="447"/>
      <c r="AC6" s="447"/>
      <c r="AD6" s="425" t="s">
        <v>99</v>
      </c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6"/>
      <c r="AW6" s="412" t="s">
        <v>74</v>
      </c>
      <c r="AX6" s="425" t="s">
        <v>109</v>
      </c>
      <c r="AY6" s="427"/>
      <c r="AZ6" s="426"/>
      <c r="BA6" s="461" t="s">
        <v>30</v>
      </c>
      <c r="BB6" s="461"/>
      <c r="BC6" s="461"/>
      <c r="BD6" s="461"/>
      <c r="BE6" s="461"/>
      <c r="BF6" s="461"/>
      <c r="BG6" s="461"/>
      <c r="BH6" s="461"/>
      <c r="BI6" s="461"/>
      <c r="BJ6" s="461"/>
      <c r="BK6" s="461"/>
      <c r="BL6" s="461"/>
      <c r="BM6" s="461"/>
      <c r="BN6" s="461"/>
      <c r="BO6" s="461"/>
      <c r="BP6" s="461"/>
      <c r="BQ6" s="461"/>
      <c r="BR6" s="458" t="s">
        <v>98</v>
      </c>
      <c r="BS6" s="458" t="s">
        <v>31</v>
      </c>
      <c r="BT6" s="455" t="s">
        <v>32</v>
      </c>
      <c r="BU6" s="458" t="s">
        <v>51</v>
      </c>
      <c r="BV6" s="455" t="s">
        <v>33</v>
      </c>
      <c r="BW6" s="458" t="s">
        <v>34</v>
      </c>
      <c r="BX6" s="455" t="s">
        <v>35</v>
      </c>
      <c r="BY6" s="47"/>
    </row>
    <row r="7" spans="1:77" s="155" customFormat="1" ht="22.15" customHeight="1" x14ac:dyDescent="0.25">
      <c r="A7" s="435"/>
      <c r="B7" s="435"/>
      <c r="C7" s="435"/>
      <c r="D7" s="435"/>
      <c r="E7" s="435"/>
      <c r="F7" s="435"/>
      <c r="G7" s="438"/>
      <c r="H7" s="439"/>
      <c r="I7" s="435"/>
      <c r="J7" s="438"/>
      <c r="K7" s="441"/>
      <c r="L7" s="441"/>
      <c r="M7" s="441"/>
      <c r="N7" s="441"/>
      <c r="O7" s="441"/>
      <c r="P7" s="441"/>
      <c r="Q7" s="439"/>
      <c r="R7" s="444"/>
      <c r="S7" s="445"/>
      <c r="T7" s="421" t="s">
        <v>115</v>
      </c>
      <c r="U7" s="428"/>
      <c r="V7" s="428"/>
      <c r="W7" s="422"/>
      <c r="X7" s="421" t="s">
        <v>125</v>
      </c>
      <c r="Y7" s="428"/>
      <c r="Z7" s="428"/>
      <c r="AA7" s="428"/>
      <c r="AB7" s="428"/>
      <c r="AC7" s="422"/>
      <c r="AD7" s="429" t="s">
        <v>75</v>
      </c>
      <c r="AE7" s="430"/>
      <c r="AF7" s="430"/>
      <c r="AG7" s="430"/>
      <c r="AH7" s="430"/>
      <c r="AI7" s="430"/>
      <c r="AJ7" s="430"/>
      <c r="AK7" s="430"/>
      <c r="AL7" s="430"/>
      <c r="AM7" s="430"/>
      <c r="AN7" s="431"/>
      <c r="AO7" s="156"/>
      <c r="AP7" s="432" t="s">
        <v>94</v>
      </c>
      <c r="AQ7" s="396" t="s">
        <v>85</v>
      </c>
      <c r="AR7" s="397"/>
      <c r="AS7" s="397"/>
      <c r="AT7" s="397"/>
      <c r="AU7" s="397"/>
      <c r="AV7" s="398"/>
      <c r="AW7" s="413"/>
      <c r="AX7" s="423" t="s">
        <v>10</v>
      </c>
      <c r="AY7" s="423" t="s">
        <v>11</v>
      </c>
      <c r="AZ7" s="386" t="s">
        <v>12</v>
      </c>
      <c r="BA7" s="450" t="s">
        <v>97</v>
      </c>
      <c r="BB7" s="450" t="s">
        <v>36</v>
      </c>
      <c r="BC7" s="450" t="s">
        <v>37</v>
      </c>
      <c r="BD7" s="450" t="s">
        <v>38</v>
      </c>
      <c r="BE7" s="450" t="s">
        <v>66</v>
      </c>
      <c r="BF7" s="450" t="s">
        <v>67</v>
      </c>
      <c r="BG7" s="450" t="s">
        <v>63</v>
      </c>
      <c r="BH7" s="450" t="s">
        <v>39</v>
      </c>
      <c r="BI7" s="450" t="s">
        <v>61</v>
      </c>
      <c r="BJ7" s="450" t="s">
        <v>40</v>
      </c>
      <c r="BK7" s="450" t="s">
        <v>41</v>
      </c>
      <c r="BL7" s="450" t="s">
        <v>90</v>
      </c>
      <c r="BM7" s="450" t="s">
        <v>42</v>
      </c>
      <c r="BN7" s="450" t="s">
        <v>43</v>
      </c>
      <c r="BO7" s="450" t="s">
        <v>110</v>
      </c>
      <c r="BP7" s="450" t="s">
        <v>126</v>
      </c>
      <c r="BQ7" s="450" t="s">
        <v>44</v>
      </c>
      <c r="BR7" s="459"/>
      <c r="BS7" s="459"/>
      <c r="BT7" s="456"/>
      <c r="BU7" s="459"/>
      <c r="BV7" s="456"/>
      <c r="BW7" s="459"/>
      <c r="BX7" s="456"/>
      <c r="BY7" s="47"/>
    </row>
    <row r="8" spans="1:77" s="155" customFormat="1" ht="41.45" customHeight="1" x14ac:dyDescent="0.25">
      <c r="A8" s="435"/>
      <c r="B8" s="435"/>
      <c r="C8" s="435"/>
      <c r="D8" s="435"/>
      <c r="E8" s="435"/>
      <c r="F8" s="435"/>
      <c r="G8" s="415" t="s">
        <v>18</v>
      </c>
      <c r="H8" s="415" t="s">
        <v>19</v>
      </c>
      <c r="I8" s="435"/>
      <c r="J8" s="415" t="s">
        <v>14</v>
      </c>
      <c r="K8" s="415" t="s">
        <v>76</v>
      </c>
      <c r="L8" s="419" t="s">
        <v>95</v>
      </c>
      <c r="M8" s="417" t="s">
        <v>91</v>
      </c>
      <c r="N8" s="415" t="s">
        <v>77</v>
      </c>
      <c r="O8" s="417" t="s">
        <v>86</v>
      </c>
      <c r="P8" s="390" t="s">
        <v>87</v>
      </c>
      <c r="Q8" s="391"/>
      <c r="R8" s="415" t="s">
        <v>17</v>
      </c>
      <c r="S8" s="417" t="s">
        <v>84</v>
      </c>
      <c r="T8" s="421" t="s">
        <v>49</v>
      </c>
      <c r="U8" s="422"/>
      <c r="V8" s="421" t="s">
        <v>50</v>
      </c>
      <c r="W8" s="422"/>
      <c r="X8" s="421" t="s">
        <v>64</v>
      </c>
      <c r="Y8" s="422"/>
      <c r="Z8" s="421" t="s">
        <v>49</v>
      </c>
      <c r="AA8" s="422"/>
      <c r="AB8" s="421" t="s">
        <v>50</v>
      </c>
      <c r="AC8" s="422"/>
      <c r="AD8" s="415" t="s">
        <v>8</v>
      </c>
      <c r="AE8" s="392" t="s">
        <v>52</v>
      </c>
      <c r="AF8" s="412" t="s">
        <v>9</v>
      </c>
      <c r="AG8" s="412" t="s">
        <v>92</v>
      </c>
      <c r="AH8" s="412" t="s">
        <v>93</v>
      </c>
      <c r="AI8" s="394" t="s">
        <v>78</v>
      </c>
      <c r="AJ8" s="412" t="s">
        <v>79</v>
      </c>
      <c r="AK8" s="433" t="s">
        <v>65</v>
      </c>
      <c r="AL8" s="421" t="s">
        <v>116</v>
      </c>
      <c r="AM8" s="422"/>
      <c r="AN8" s="425" t="s">
        <v>117</v>
      </c>
      <c r="AO8" s="426"/>
      <c r="AP8" s="432"/>
      <c r="AQ8" s="423" t="s">
        <v>80</v>
      </c>
      <c r="AR8" s="423" t="s">
        <v>81</v>
      </c>
      <c r="AS8" s="423" t="s">
        <v>118</v>
      </c>
      <c r="AT8" s="423" t="s">
        <v>119</v>
      </c>
      <c r="AU8" s="423" t="s">
        <v>82</v>
      </c>
      <c r="AV8" s="423" t="s">
        <v>124</v>
      </c>
      <c r="AW8" s="413"/>
      <c r="AX8" s="453"/>
      <c r="AY8" s="453"/>
      <c r="AZ8" s="454"/>
      <c r="BA8" s="451"/>
      <c r="BB8" s="451"/>
      <c r="BC8" s="451"/>
      <c r="BD8" s="451"/>
      <c r="BE8" s="451"/>
      <c r="BF8" s="451"/>
      <c r="BG8" s="451"/>
      <c r="BH8" s="451"/>
      <c r="BI8" s="451"/>
      <c r="BJ8" s="451"/>
      <c r="BK8" s="451"/>
      <c r="BL8" s="451"/>
      <c r="BM8" s="451"/>
      <c r="BN8" s="451"/>
      <c r="BO8" s="451"/>
      <c r="BP8" s="451"/>
      <c r="BQ8" s="451"/>
      <c r="BR8" s="459"/>
      <c r="BS8" s="459"/>
      <c r="BT8" s="456"/>
      <c r="BU8" s="459"/>
      <c r="BV8" s="456"/>
      <c r="BW8" s="459"/>
      <c r="BX8" s="456"/>
      <c r="BY8" s="47"/>
    </row>
    <row r="9" spans="1:77" s="155" customFormat="1" ht="53.45" customHeight="1" x14ac:dyDescent="0.25">
      <c r="A9" s="416"/>
      <c r="B9" s="416" t="s">
        <v>13</v>
      </c>
      <c r="C9" s="416" t="s">
        <v>13</v>
      </c>
      <c r="D9" s="416"/>
      <c r="E9" s="416"/>
      <c r="F9" s="416"/>
      <c r="G9" s="416"/>
      <c r="H9" s="416"/>
      <c r="I9" s="416"/>
      <c r="J9" s="416"/>
      <c r="K9" s="416"/>
      <c r="L9" s="420"/>
      <c r="M9" s="418"/>
      <c r="N9" s="416"/>
      <c r="O9" s="418"/>
      <c r="P9" s="159" t="s">
        <v>120</v>
      </c>
      <c r="Q9" s="160" t="s">
        <v>96</v>
      </c>
      <c r="R9" s="416"/>
      <c r="S9" s="418"/>
      <c r="T9" s="161" t="s">
        <v>15</v>
      </c>
      <c r="U9" s="161" t="s">
        <v>16</v>
      </c>
      <c r="V9" s="161" t="s">
        <v>15</v>
      </c>
      <c r="W9" s="161" t="s">
        <v>16</v>
      </c>
      <c r="X9" s="161" t="s">
        <v>15</v>
      </c>
      <c r="Y9" s="161" t="s">
        <v>16</v>
      </c>
      <c r="Z9" s="161" t="s">
        <v>15</v>
      </c>
      <c r="AA9" s="161" t="s">
        <v>16</v>
      </c>
      <c r="AB9" s="161" t="s">
        <v>15</v>
      </c>
      <c r="AC9" s="161" t="s">
        <v>16</v>
      </c>
      <c r="AD9" s="416"/>
      <c r="AE9" s="393"/>
      <c r="AF9" s="414"/>
      <c r="AG9" s="414"/>
      <c r="AH9" s="414"/>
      <c r="AI9" s="395"/>
      <c r="AJ9" s="414"/>
      <c r="AK9" s="434"/>
      <c r="AL9" s="157" t="s">
        <v>15</v>
      </c>
      <c r="AM9" s="157" t="s">
        <v>16</v>
      </c>
      <c r="AN9" s="157" t="s">
        <v>15</v>
      </c>
      <c r="AO9" s="157" t="s">
        <v>16</v>
      </c>
      <c r="AP9" s="432"/>
      <c r="AQ9" s="424"/>
      <c r="AR9" s="424"/>
      <c r="AS9" s="424"/>
      <c r="AT9" s="424"/>
      <c r="AU9" s="424"/>
      <c r="AV9" s="424"/>
      <c r="AW9" s="414"/>
      <c r="AX9" s="424"/>
      <c r="AY9" s="424"/>
      <c r="AZ9" s="387"/>
      <c r="BA9" s="452"/>
      <c r="BB9" s="452"/>
      <c r="BC9" s="452"/>
      <c r="BD9" s="452"/>
      <c r="BE9" s="452"/>
      <c r="BF9" s="452"/>
      <c r="BG9" s="452"/>
      <c r="BH9" s="452"/>
      <c r="BI9" s="452"/>
      <c r="BJ9" s="452"/>
      <c r="BK9" s="452"/>
      <c r="BL9" s="452"/>
      <c r="BM9" s="452"/>
      <c r="BN9" s="452"/>
      <c r="BO9" s="452"/>
      <c r="BP9" s="452"/>
      <c r="BQ9" s="452"/>
      <c r="BR9" s="460"/>
      <c r="BS9" s="460"/>
      <c r="BT9" s="457"/>
      <c r="BU9" s="460"/>
      <c r="BV9" s="457"/>
      <c r="BW9" s="460"/>
      <c r="BX9" s="457"/>
      <c r="BY9" s="47"/>
    </row>
    <row r="10" spans="1:77" ht="18" customHeight="1" x14ac:dyDescent="0.25">
      <c r="A10" s="62" t="s">
        <v>100</v>
      </c>
      <c r="B10" s="68" t="s">
        <v>101</v>
      </c>
      <c r="C10" s="68" t="s">
        <v>102</v>
      </c>
      <c r="D10" s="68">
        <v>-1</v>
      </c>
      <c r="E10" s="69">
        <v>-2</v>
      </c>
      <c r="F10" s="70" t="s">
        <v>106</v>
      </c>
      <c r="G10" s="69">
        <v>-4</v>
      </c>
      <c r="H10" s="68">
        <v>-5</v>
      </c>
      <c r="I10" s="68">
        <v>-6</v>
      </c>
      <c r="J10" s="68">
        <v>-7</v>
      </c>
      <c r="K10" s="68">
        <v>-8</v>
      </c>
      <c r="L10" s="68">
        <v>-9</v>
      </c>
      <c r="M10" s="68">
        <v>-7</v>
      </c>
      <c r="N10" s="68">
        <v>-10</v>
      </c>
      <c r="O10" s="68"/>
      <c r="P10" s="68">
        <v>-10</v>
      </c>
      <c r="Q10" s="68"/>
      <c r="R10" s="68"/>
      <c r="S10" s="68"/>
      <c r="T10" s="68">
        <v>-11</v>
      </c>
      <c r="U10" s="68">
        <v>-10</v>
      </c>
      <c r="V10" s="68">
        <v>-12</v>
      </c>
      <c r="W10" s="68">
        <v>-10</v>
      </c>
      <c r="X10" s="68">
        <v>-13</v>
      </c>
      <c r="Y10" s="68">
        <v>-10</v>
      </c>
      <c r="Z10" s="68">
        <v>-14</v>
      </c>
      <c r="AA10" s="68">
        <v>-10</v>
      </c>
      <c r="AB10" s="68">
        <v>-15</v>
      </c>
      <c r="AC10" s="68">
        <v>-16</v>
      </c>
      <c r="AD10" s="165">
        <v>-17</v>
      </c>
      <c r="AE10" s="68">
        <v>-18</v>
      </c>
      <c r="AF10" s="68">
        <v>-19</v>
      </c>
      <c r="AG10" s="68">
        <v>-10</v>
      </c>
      <c r="AH10" s="68">
        <v>-10</v>
      </c>
      <c r="AI10" s="68">
        <v>-20</v>
      </c>
      <c r="AJ10" s="68">
        <v>-19</v>
      </c>
      <c r="AK10" s="68">
        <v>-21</v>
      </c>
      <c r="AL10" s="68">
        <v>-22</v>
      </c>
      <c r="AM10" s="68">
        <v>-23</v>
      </c>
      <c r="AN10" s="68">
        <v>-24</v>
      </c>
      <c r="AO10" s="68">
        <v>-10</v>
      </c>
      <c r="AP10" s="68">
        <v>-24</v>
      </c>
      <c r="AQ10" s="68">
        <v>-25</v>
      </c>
      <c r="AR10" s="68">
        <v>-10</v>
      </c>
      <c r="AS10" s="68">
        <v>-26</v>
      </c>
      <c r="AT10" s="68">
        <v>-27</v>
      </c>
      <c r="AU10" s="68">
        <v>-10</v>
      </c>
      <c r="AV10" s="68">
        <v>-26</v>
      </c>
      <c r="AW10" s="68">
        <v>-27</v>
      </c>
      <c r="AX10" s="68">
        <v>-28</v>
      </c>
      <c r="AY10" s="68">
        <v>-29</v>
      </c>
      <c r="AZ10" s="68">
        <v>-30</v>
      </c>
      <c r="BA10" s="96">
        <v>-28</v>
      </c>
      <c r="BB10" s="96">
        <v>-29</v>
      </c>
      <c r="BC10" s="96">
        <v>-30</v>
      </c>
      <c r="BD10" s="96">
        <v>-31</v>
      </c>
      <c r="BE10" s="96"/>
      <c r="BF10" s="96"/>
      <c r="BG10" s="96"/>
      <c r="BH10" s="96"/>
      <c r="BI10" s="96"/>
      <c r="BJ10" s="96"/>
      <c r="BK10" s="96"/>
      <c r="BL10" s="96"/>
      <c r="BM10" s="96">
        <v>-32</v>
      </c>
      <c r="BN10" s="96"/>
      <c r="BO10" s="96">
        <v>-26</v>
      </c>
      <c r="BP10" s="96">
        <v>-33</v>
      </c>
      <c r="BQ10" s="97" t="s">
        <v>128</v>
      </c>
      <c r="BR10" s="98">
        <v>28</v>
      </c>
      <c r="BS10" s="97"/>
      <c r="BT10" s="96">
        <v>-35</v>
      </c>
      <c r="BU10" s="96">
        <v>30</v>
      </c>
      <c r="BV10" s="96">
        <v>-36</v>
      </c>
      <c r="BW10" s="96">
        <v>-37</v>
      </c>
      <c r="BX10" s="96" t="s">
        <v>129</v>
      </c>
      <c r="BY10" s="89"/>
    </row>
    <row r="11" spans="1:77" s="189" customFormat="1" ht="47.45" customHeight="1" x14ac:dyDescent="0.25">
      <c r="A11" s="167">
        <v>1</v>
      </c>
      <c r="B11" s="168" t="s">
        <v>20</v>
      </c>
      <c r="C11" s="169" t="s">
        <v>47</v>
      </c>
      <c r="D11" s="170">
        <v>16740000</v>
      </c>
      <c r="E11" s="171"/>
      <c r="F11" s="172">
        <v>6500000</v>
      </c>
      <c r="G11" s="173">
        <v>9930000</v>
      </c>
      <c r="H11" s="173"/>
      <c r="I11" s="174" t="str">
        <f>'[2]11. Xếp loại'!E9</f>
        <v>A</v>
      </c>
      <c r="J11" s="175">
        <f>'[2]3. Chấm công'!AH8</f>
        <v>15</v>
      </c>
      <c r="K11" s="175">
        <f>'[2]3. Chấm công'!AI8</f>
        <v>5</v>
      </c>
      <c r="L11" s="175">
        <f>'[2]3. Chấm công'!AL8</f>
        <v>0</v>
      </c>
      <c r="M11" s="175">
        <f>'[2]3. Chấm công'!AJ8</f>
        <v>0</v>
      </c>
      <c r="N11" s="175"/>
      <c r="O11" s="175">
        <f>'[2]3. Chấm công'!AK8</f>
        <v>0</v>
      </c>
      <c r="P11" s="176">
        <f>'[2]3. Chấm công'!AT8</f>
        <v>0</v>
      </c>
      <c r="Q11" s="176"/>
      <c r="R11" s="176"/>
      <c r="S11" s="176">
        <f>'[2]3. Chấm công'!AP8</f>
        <v>0</v>
      </c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4">
        <f>ROUND(F11*(J11+K11+M11)/$A$5,-3)</f>
        <v>6500000</v>
      </c>
      <c r="AE11" s="178">
        <f>ROUND(IF(I11="A",(D11-F11)*(J11+K11+M11)/$A$5,IF(I11="B",(D11-F11)*0.5*(J11+K11+M11)/$A$5,IF(I11="C",0))),-3)</f>
        <v>10240000</v>
      </c>
      <c r="AF11" s="179"/>
      <c r="AG11" s="179"/>
      <c r="AH11" s="179"/>
      <c r="AI11" s="179">
        <f>ROUND(G11*(L11)/$A$5,-3)</f>
        <v>0</v>
      </c>
      <c r="AJ11" s="179">
        <f>ROUND(G11*N11/$A$5*85%,-3)</f>
        <v>0</v>
      </c>
      <c r="AK11" s="180">
        <f t="shared" ref="AK11:AK17" si="0">ROUND(P11*316000,-3)</f>
        <v>0</v>
      </c>
      <c r="AL11" s="181">
        <f t="shared" ref="AL11:AL23" si="1">ROUND((X11*43000+Z11*43000+AB11*43000),-3)</f>
        <v>0</v>
      </c>
      <c r="AM11" s="181">
        <f t="shared" ref="AM11:AM23" si="2">ROUND((AC11*54000+AA11*54000+Y11*57000),-3)</f>
        <v>0</v>
      </c>
      <c r="AN11" s="181">
        <f t="shared" ref="AN11:AN23" si="3">ROUND((T11*43000+V11*43000),-3)</f>
        <v>0</v>
      </c>
      <c r="AO11" s="181">
        <f t="shared" ref="AO11:AO27" si="4">ROUND((U11*48600+W11*52000),-3)</f>
        <v>0</v>
      </c>
      <c r="AP11" s="181"/>
      <c r="AQ11" s="182"/>
      <c r="AR11" s="171"/>
      <c r="AS11" s="171"/>
      <c r="AT11" s="171"/>
      <c r="AU11" s="171"/>
      <c r="AV11" s="183">
        <v>840000</v>
      </c>
      <c r="AW11" s="184">
        <f>ROUND(SUM(AD11:AU11)-AV11,-3)</f>
        <v>15900000</v>
      </c>
      <c r="AX11" s="178">
        <f>ROUND((D11-F11)*(J11+K11+M11)/$A$5*$C$5,-3)</f>
        <v>10240000</v>
      </c>
      <c r="AY11" s="185">
        <f>AE11</f>
        <v>10240000</v>
      </c>
      <c r="AZ11" s="185">
        <f>AX11-AY11</f>
        <v>0</v>
      </c>
      <c r="BA11" s="186">
        <f t="shared" ref="BA11:BA27" si="5">ROUND(IF((AW11-BB11-BC11-BD11)*0.5%&lt;234000,(AW11-BB11-BC11-BD11)*0.5%,234000),-3)</f>
        <v>74000</v>
      </c>
      <c r="BB11" s="187">
        <v>866400</v>
      </c>
      <c r="BC11" s="187">
        <v>148950</v>
      </c>
      <c r="BD11" s="187">
        <v>108300</v>
      </c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>
        <v>800000</v>
      </c>
      <c r="BQ11" s="188">
        <f>SUM(BA11:BP11)</f>
        <v>1997650</v>
      </c>
      <c r="BR11" s="187"/>
      <c r="BS11" s="187"/>
      <c r="BT11" s="188">
        <f>(AW11-BQ11+BR11+BS11)</f>
        <v>13902350</v>
      </c>
      <c r="BU11" s="187"/>
      <c r="BV11" s="187">
        <v>15</v>
      </c>
      <c r="BW11" s="187">
        <f>BV11*$BW$5</f>
        <v>495000</v>
      </c>
      <c r="BX11" s="188">
        <f>BT11+BW11+BU11</f>
        <v>14397350</v>
      </c>
    </row>
    <row r="12" spans="1:77" s="193" customFormat="1" ht="47.45" customHeight="1" x14ac:dyDescent="0.25">
      <c r="A12" s="167">
        <v>2</v>
      </c>
      <c r="B12" s="168" t="s">
        <v>23</v>
      </c>
      <c r="C12" s="190" t="s">
        <v>88</v>
      </c>
      <c r="D12" s="170">
        <v>14700000</v>
      </c>
      <c r="E12" s="173">
        <v>525000</v>
      </c>
      <c r="F12" s="172">
        <v>6500000</v>
      </c>
      <c r="G12" s="173">
        <v>7510000</v>
      </c>
      <c r="H12" s="173">
        <v>525000</v>
      </c>
      <c r="I12" s="174" t="str">
        <f>'[2]11. Xếp loại'!E10</f>
        <v>A</v>
      </c>
      <c r="J12" s="175">
        <f>'[2]3. Chấm công'!AR9</f>
        <v>10</v>
      </c>
      <c r="K12" s="175">
        <f>'[2]3. Chấm công'!AI9</f>
        <v>10</v>
      </c>
      <c r="L12" s="191">
        <f>'[2]3. Chấm công'!AL9</f>
        <v>0</v>
      </c>
      <c r="M12" s="175">
        <f>'[2]3. Chấm công'!AJ9</f>
        <v>0</v>
      </c>
      <c r="N12" s="175"/>
      <c r="O12" s="175">
        <f>'[2]3. Chấm công'!AK9</f>
        <v>0</v>
      </c>
      <c r="P12" s="176">
        <f>'[2]3. Chấm công'!AT9</f>
        <v>0</v>
      </c>
      <c r="Q12" s="176"/>
      <c r="R12" s="176"/>
      <c r="S12" s="176">
        <f>'[2]3. Chấm công'!AP9</f>
        <v>0</v>
      </c>
      <c r="T12" s="177">
        <f>'[2]6. THKH tháng'!BE17</f>
        <v>0</v>
      </c>
      <c r="U12" s="177">
        <f>'[2]6. THKH tháng'!BF17</f>
        <v>0</v>
      </c>
      <c r="V12" s="177">
        <f>'[2]6. THKH tháng'!BE18</f>
        <v>0</v>
      </c>
      <c r="W12" s="177"/>
      <c r="X12" s="177">
        <f>'[2]6. THKH tháng'!BG16</f>
        <v>0</v>
      </c>
      <c r="Y12" s="177">
        <f>'[2]6. THKH tháng'!BH16</f>
        <v>0</v>
      </c>
      <c r="Z12" s="177">
        <f>'[2]6. THKH tháng'!BG17</f>
        <v>4</v>
      </c>
      <c r="AA12" s="177">
        <f>'[2]6. THKH tháng'!BH17</f>
        <v>0</v>
      </c>
      <c r="AB12" s="177">
        <f>'[2]6. THKH tháng'!BG18</f>
        <v>84</v>
      </c>
      <c r="AC12" s="177">
        <f>'[2]6. THKH tháng'!BH18</f>
        <v>0</v>
      </c>
      <c r="AD12" s="174">
        <f>ROUND(F12*(J12)/$A$5*$B$5,-3)</f>
        <v>2763000</v>
      </c>
      <c r="AE12" s="178">
        <f>ROUND(IF(I12="A",(D12-F12-4500000)*(J12)/$A$5*$B$5,IF(I12="B",(D12-F12-4500000)*0.5*(J12)/$A$5*$B$5,IF(I12="C",0))),-3)</f>
        <v>1573000</v>
      </c>
      <c r="AF12" s="179">
        <f>ROUND(G12*(K12)/$A$5,-3)</f>
        <v>3755000</v>
      </c>
      <c r="AG12" s="179"/>
      <c r="AH12" s="179">
        <f t="shared" ref="AH12:AH26" si="6">ROUND((D12)*M12/$A$5,-3)</f>
        <v>0</v>
      </c>
      <c r="AI12" s="179">
        <f>ROUND(G12*(L12)/$A$5,-3)</f>
        <v>0</v>
      </c>
      <c r="AJ12" s="179">
        <f>ROUND(G12*N12/$A$5*85%,-3)</f>
        <v>0</v>
      </c>
      <c r="AK12" s="180">
        <f t="shared" si="0"/>
        <v>0</v>
      </c>
      <c r="AL12" s="181">
        <f t="shared" si="1"/>
        <v>3784000</v>
      </c>
      <c r="AM12" s="181">
        <f t="shared" si="2"/>
        <v>0</v>
      </c>
      <c r="AN12" s="181">
        <f t="shared" si="3"/>
        <v>0</v>
      </c>
      <c r="AO12" s="181">
        <f t="shared" si="4"/>
        <v>0</v>
      </c>
      <c r="AP12" s="192">
        <f>ROUND((IF(I12="A",0,IF(I12="B",-(1330000)*50%,IF(I12="C",-(1330000)*100%))))*(J12)/$A$5,-3)</f>
        <v>0</v>
      </c>
      <c r="AQ12" s="179">
        <v>525000</v>
      </c>
      <c r="AR12" s="179"/>
      <c r="AS12" s="171"/>
      <c r="AT12" s="171"/>
      <c r="AU12" s="171"/>
      <c r="AV12" s="183">
        <v>706000</v>
      </c>
      <c r="AW12" s="184">
        <f>ROUND(SUM(AD12:AU12)-AV12,-3)</f>
        <v>11694000</v>
      </c>
      <c r="AX12" s="178">
        <f>ROUND((D12-F12-4500000)*(J12)/$A$5*$B$5,-3)</f>
        <v>1573000</v>
      </c>
      <c r="AY12" s="185">
        <f>AE12</f>
        <v>1573000</v>
      </c>
      <c r="AZ12" s="185">
        <f>AX12-AY12</f>
        <v>0</v>
      </c>
      <c r="BA12" s="186">
        <f t="shared" si="5"/>
        <v>54000</v>
      </c>
      <c r="BB12" s="187">
        <v>697200</v>
      </c>
      <c r="BC12" s="187">
        <v>120525</v>
      </c>
      <c r="BD12" s="187">
        <v>87150</v>
      </c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8">
        <f t="shared" ref="BQ12:BQ27" si="7">SUM(BA12:BP12)</f>
        <v>958875</v>
      </c>
      <c r="BR12" s="187"/>
      <c r="BS12" s="187"/>
      <c r="BT12" s="188">
        <f t="shared" ref="BT12:BT27" si="8">(AW12-BQ12+BR12+BS12)</f>
        <v>10735125</v>
      </c>
      <c r="BU12" s="187"/>
      <c r="BV12" s="187">
        <v>10</v>
      </c>
      <c r="BW12" s="187">
        <f t="shared" ref="BW12:BW27" si="9">BV12*$BW$5</f>
        <v>330000</v>
      </c>
      <c r="BX12" s="188">
        <f t="shared" ref="BX12:BX27" si="10">BT12+BW12+BU12</f>
        <v>11065125</v>
      </c>
    </row>
    <row r="13" spans="1:77" s="193" customFormat="1" ht="47.45" customHeight="1" x14ac:dyDescent="0.25">
      <c r="A13" s="167">
        <v>3</v>
      </c>
      <c r="B13" s="168" t="s">
        <v>25</v>
      </c>
      <c r="C13" s="167" t="s">
        <v>24</v>
      </c>
      <c r="D13" s="170">
        <v>14700000</v>
      </c>
      <c r="E13" s="173"/>
      <c r="F13" s="172">
        <v>6500000</v>
      </c>
      <c r="G13" s="173">
        <v>7510000</v>
      </c>
      <c r="H13" s="173"/>
      <c r="I13" s="174" t="str">
        <f>'[2]11. Xếp loại'!E11</f>
        <v>A</v>
      </c>
      <c r="J13" s="175">
        <f>'[2]3. Chấm công'!AR10</f>
        <v>10</v>
      </c>
      <c r="K13" s="175">
        <f>'[2]3. Chấm công'!AI10</f>
        <v>10</v>
      </c>
      <c r="L13" s="175">
        <f>'[2]3. Chấm công'!AL10</f>
        <v>0</v>
      </c>
      <c r="M13" s="175">
        <f>'[2]3. Chấm công'!AJ10</f>
        <v>0</v>
      </c>
      <c r="N13" s="175"/>
      <c r="O13" s="175">
        <f>'[2]3. Chấm công'!AK10</f>
        <v>0</v>
      </c>
      <c r="P13" s="194">
        <f>'[2]3. Chấm công'!AT10</f>
        <v>0</v>
      </c>
      <c r="Q13" s="176"/>
      <c r="R13" s="176"/>
      <c r="S13" s="176">
        <f>'[2]3. Chấm công'!AP10</f>
        <v>0</v>
      </c>
      <c r="T13" s="179">
        <f>'[2]6. THKH tháng'!BE20</f>
        <v>0</v>
      </c>
      <c r="U13" s="179">
        <f>'[2]6. THKH tháng'!BF20</f>
        <v>0</v>
      </c>
      <c r="V13" s="179">
        <f>'[2]6. THKH tháng'!BE21</f>
        <v>0</v>
      </c>
      <c r="W13" s="179"/>
      <c r="X13" s="179">
        <f>'[2]6. THKH tháng'!BG19</f>
        <v>0</v>
      </c>
      <c r="Y13" s="179">
        <f>'[2]6. THKH tháng'!BH19</f>
        <v>0</v>
      </c>
      <c r="Z13" s="179">
        <f>'[2]6. THKH tháng'!BG20</f>
        <v>0</v>
      </c>
      <c r="AA13" s="179">
        <f>'[2]6. THKH tháng'!BH20</f>
        <v>0</v>
      </c>
      <c r="AB13" s="179">
        <f>'[2]6. THKH tháng'!BG21</f>
        <v>0</v>
      </c>
      <c r="AC13" s="179">
        <f>'[2]6. THKH tháng'!BH21</f>
        <v>0</v>
      </c>
      <c r="AD13" s="174">
        <f>ROUND(F13*(J13)/$A$5*$B$5,-3)</f>
        <v>2763000</v>
      </c>
      <c r="AE13" s="178">
        <f>ROUND(IF(I13="A",(D13-F13-4500000)*(J13)/$A$5*$B$5,IF(I13="B",(D13-F13-4500000)*0.5*(J13)/$A$5*$B$5,IF(I13="C",0))),-3)</f>
        <v>1573000</v>
      </c>
      <c r="AF13" s="179">
        <f>ROUND(G13*(K13)/$A$5,-3)</f>
        <v>3755000</v>
      </c>
      <c r="AG13" s="179"/>
      <c r="AH13" s="179">
        <f t="shared" si="6"/>
        <v>0</v>
      </c>
      <c r="AI13" s="179">
        <f>ROUND(G13*(L13)/$A$5,-3)</f>
        <v>0</v>
      </c>
      <c r="AJ13" s="179">
        <f>ROUND(G13*N13/$A$5*85%,-3)</f>
        <v>0</v>
      </c>
      <c r="AK13" s="180">
        <f t="shared" si="0"/>
        <v>0</v>
      </c>
      <c r="AL13" s="181">
        <f t="shared" si="1"/>
        <v>0</v>
      </c>
      <c r="AM13" s="181">
        <f t="shared" si="2"/>
        <v>0</v>
      </c>
      <c r="AN13" s="181">
        <f t="shared" si="3"/>
        <v>0</v>
      </c>
      <c r="AO13" s="181">
        <f t="shared" si="4"/>
        <v>0</v>
      </c>
      <c r="AP13" s="192">
        <f>ROUND((IF(I13="A",0,IF(I13="B",-(1330000)*50%,IF(I13="C",-(1330000)*100%))))*(J13)/$A$5,-3)</f>
        <v>0</v>
      </c>
      <c r="AQ13" s="195"/>
      <c r="AR13" s="179"/>
      <c r="AS13" s="171"/>
      <c r="AT13" s="171"/>
      <c r="AU13" s="171"/>
      <c r="AV13" s="183">
        <v>706000</v>
      </c>
      <c r="AW13" s="184">
        <f>ROUND(SUM(AD13:AU13)-AV13,-3)</f>
        <v>7385000</v>
      </c>
      <c r="AX13" s="178">
        <f>ROUND((D13-F13-4500000)*(J13)/$A$5*$B$5,-3)</f>
        <v>1573000</v>
      </c>
      <c r="AY13" s="185">
        <f>AE13</f>
        <v>1573000</v>
      </c>
      <c r="AZ13" s="185">
        <f t="shared" ref="AZ13:AZ26" si="11">AX13-AY13</f>
        <v>0</v>
      </c>
      <c r="BA13" s="186">
        <f t="shared" si="5"/>
        <v>33000</v>
      </c>
      <c r="BB13" s="187">
        <v>655200</v>
      </c>
      <c r="BC13" s="187">
        <v>112650</v>
      </c>
      <c r="BD13" s="187">
        <v>81900</v>
      </c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8">
        <f t="shared" si="7"/>
        <v>882750</v>
      </c>
      <c r="BR13" s="187"/>
      <c r="BS13" s="187"/>
      <c r="BT13" s="188">
        <f t="shared" si="8"/>
        <v>6502250</v>
      </c>
      <c r="BU13" s="187"/>
      <c r="BV13" s="187">
        <v>10</v>
      </c>
      <c r="BW13" s="187">
        <f t="shared" si="9"/>
        <v>330000</v>
      </c>
      <c r="BX13" s="188">
        <f t="shared" si="10"/>
        <v>6832250</v>
      </c>
    </row>
    <row r="14" spans="1:77" s="193" customFormat="1" ht="47.45" customHeight="1" x14ac:dyDescent="0.25">
      <c r="A14" s="167">
        <v>4</v>
      </c>
      <c r="B14" s="168" t="s">
        <v>26</v>
      </c>
      <c r="C14" s="190" t="s">
        <v>89</v>
      </c>
      <c r="D14" s="170">
        <v>14200000</v>
      </c>
      <c r="E14" s="173">
        <v>525000</v>
      </c>
      <c r="F14" s="172">
        <v>6500000</v>
      </c>
      <c r="G14" s="173">
        <v>7140000</v>
      </c>
      <c r="H14" s="173">
        <v>525000</v>
      </c>
      <c r="I14" s="174" t="str">
        <f>'[2]11. Xếp loại'!E12</f>
        <v>A</v>
      </c>
      <c r="J14" s="175">
        <f>'[2]3. Chấm công'!AR11</f>
        <v>10</v>
      </c>
      <c r="K14" s="175">
        <f>'[2]3. Chấm công'!AI11</f>
        <v>10</v>
      </c>
      <c r="L14" s="175">
        <f>'[2]3. Chấm công'!AL11</f>
        <v>0</v>
      </c>
      <c r="M14" s="175">
        <f>'[2]3. Chấm công'!AJ11</f>
        <v>0</v>
      </c>
      <c r="N14" s="175"/>
      <c r="O14" s="175">
        <f>'[2]3. Chấm công'!AK11</f>
        <v>0</v>
      </c>
      <c r="P14" s="194">
        <f>'[2]3. Chấm công'!AO11</f>
        <v>0</v>
      </c>
      <c r="Q14" s="176"/>
      <c r="R14" s="176"/>
      <c r="S14" s="176">
        <f>'[2]3. Chấm công'!AP11</f>
        <v>0</v>
      </c>
      <c r="T14" s="177">
        <f>'[2]6. THKH tháng'!BE23</f>
        <v>0</v>
      </c>
      <c r="U14" s="177">
        <f>'[2]6. THKH tháng'!BF23</f>
        <v>0</v>
      </c>
      <c r="V14" s="177">
        <f>'[2]6. THKH tháng'!BE24</f>
        <v>0</v>
      </c>
      <c r="W14" s="177">
        <f>'[2]6. THKH tháng'!BF24</f>
        <v>0</v>
      </c>
      <c r="X14" s="177">
        <f>'[2]6. THKH tháng'!BG22</f>
        <v>0</v>
      </c>
      <c r="Y14" s="177">
        <f>'[2]6. THKH tháng'!BH22</f>
        <v>0</v>
      </c>
      <c r="Z14" s="177">
        <f>'[2]6. THKH tháng'!BG23</f>
        <v>0</v>
      </c>
      <c r="AA14" s="177">
        <f>'[2]6. THKH tháng'!BH23</f>
        <v>0</v>
      </c>
      <c r="AB14" s="177">
        <f>'[2]6. THKH tháng'!BG24</f>
        <v>0</v>
      </c>
      <c r="AC14" s="177">
        <f>'[2]6. THKH tháng'!BH24</f>
        <v>0</v>
      </c>
      <c r="AD14" s="174">
        <f>ROUND(F14*(J14)/$A$5*$B$5,-3)</f>
        <v>2763000</v>
      </c>
      <c r="AE14" s="178">
        <f>ROUND(IF(I14="A",(D14-F14-4500000)*(J14)/$A$5*$B$5,IF(I14="B",(D14-F14-4500000)*0.5*(J14)/$A$5*$B$5,IF(I14="C",0))),-3)</f>
        <v>1360000</v>
      </c>
      <c r="AF14" s="179">
        <f>ROUND(G14*(K14)/$A$5,-3)</f>
        <v>3570000</v>
      </c>
      <c r="AG14" s="179"/>
      <c r="AH14" s="179">
        <f t="shared" si="6"/>
        <v>0</v>
      </c>
      <c r="AI14" s="179">
        <f>ROUND(G14*(L14)/$A$5,-3)</f>
        <v>0</v>
      </c>
      <c r="AJ14" s="179">
        <f>ROUND(G14*N14/$A$5*85%,-3)</f>
        <v>0</v>
      </c>
      <c r="AK14" s="180">
        <f t="shared" si="0"/>
        <v>0</v>
      </c>
      <c r="AL14" s="181">
        <f t="shared" si="1"/>
        <v>0</v>
      </c>
      <c r="AM14" s="181">
        <f t="shared" si="2"/>
        <v>0</v>
      </c>
      <c r="AN14" s="181">
        <f t="shared" si="3"/>
        <v>0</v>
      </c>
      <c r="AO14" s="181">
        <f t="shared" si="4"/>
        <v>0</v>
      </c>
      <c r="AP14" s="192"/>
      <c r="AQ14" s="179">
        <v>525000</v>
      </c>
      <c r="AR14" s="179"/>
      <c r="AS14" s="171"/>
      <c r="AT14" s="171"/>
      <c r="AU14" s="171"/>
      <c r="AV14" s="183">
        <v>339000</v>
      </c>
      <c r="AW14" s="184">
        <f>ROUND(SUM(AD14:AU14)-AV14,-3)</f>
        <v>7879000</v>
      </c>
      <c r="AX14" s="178">
        <f>ROUND((D14-F14-4500000)*(J14)/$A$5*$B$5,-3)</f>
        <v>1360000</v>
      </c>
      <c r="AY14" s="185">
        <f>AE14</f>
        <v>1360000</v>
      </c>
      <c r="AZ14" s="185">
        <f t="shared" si="11"/>
        <v>0</v>
      </c>
      <c r="BA14" s="186">
        <f t="shared" si="5"/>
        <v>35000</v>
      </c>
      <c r="BB14" s="187">
        <v>665200</v>
      </c>
      <c r="BC14" s="187">
        <v>114975</v>
      </c>
      <c r="BD14" s="187">
        <v>83150</v>
      </c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8">
        <f t="shared" si="7"/>
        <v>898325</v>
      </c>
      <c r="BR14" s="187"/>
      <c r="BS14" s="187"/>
      <c r="BT14" s="188">
        <f t="shared" si="8"/>
        <v>6980675</v>
      </c>
      <c r="BU14" s="187"/>
      <c r="BV14" s="187">
        <v>10</v>
      </c>
      <c r="BW14" s="187">
        <f t="shared" si="9"/>
        <v>330000</v>
      </c>
      <c r="BX14" s="188">
        <f t="shared" si="10"/>
        <v>7310675</v>
      </c>
    </row>
    <row r="15" spans="1:77" s="196" customFormat="1" ht="47.45" customHeight="1" x14ac:dyDescent="0.25">
      <c r="A15" s="167">
        <v>5</v>
      </c>
      <c r="B15" s="168" t="s">
        <v>27</v>
      </c>
      <c r="C15" s="167" t="s">
        <v>24</v>
      </c>
      <c r="D15" s="170">
        <v>14200000</v>
      </c>
      <c r="E15" s="224"/>
      <c r="F15" s="225">
        <v>6500000</v>
      </c>
      <c r="G15" s="226">
        <v>7140000</v>
      </c>
      <c r="H15" s="173"/>
      <c r="I15" s="174"/>
      <c r="J15" s="175">
        <f>'[2]3. Chấm công'!AR12</f>
        <v>0</v>
      </c>
      <c r="K15" s="175">
        <f>'[2]3. Chấm công'!AI12</f>
        <v>10</v>
      </c>
      <c r="L15" s="175"/>
      <c r="M15" s="175"/>
      <c r="N15" s="175"/>
      <c r="O15" s="175"/>
      <c r="P15" s="194"/>
      <c r="Q15" s="176"/>
      <c r="R15" s="176"/>
      <c r="S15" s="176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4">
        <f>ROUND(F15*(J15)/$A$5*$B$5,-3)</f>
        <v>0</v>
      </c>
      <c r="AE15" s="178">
        <f>ROUND(IF(I15="A",(D15-F15-4500000)*(J15)/$A$5*$B$5,IF(I15="B",(D15-F15-4500000)*0.5*(J15)/$A$5*$B$5,IF(I15="C",0))),-3)</f>
        <v>0</v>
      </c>
      <c r="AF15" s="179">
        <f>ROUND(G15*(K15)/$A$5,-3)</f>
        <v>3570000</v>
      </c>
      <c r="AG15" s="179"/>
      <c r="AH15" s="179">
        <f t="shared" si="6"/>
        <v>0</v>
      </c>
      <c r="AI15" s="179">
        <f>ROUND(G15*(L15)/$A$5,-3)</f>
        <v>0</v>
      </c>
      <c r="AJ15" s="179">
        <f>ROUND(G15*N15/$A$5*85%,-3)</f>
        <v>0</v>
      </c>
      <c r="AK15" s="180">
        <f t="shared" si="0"/>
        <v>0</v>
      </c>
      <c r="AL15" s="181">
        <f t="shared" si="1"/>
        <v>0</v>
      </c>
      <c r="AM15" s="181">
        <f t="shared" si="2"/>
        <v>0</v>
      </c>
      <c r="AN15" s="181">
        <f t="shared" si="3"/>
        <v>0</v>
      </c>
      <c r="AO15" s="181">
        <f t="shared" si="4"/>
        <v>0</v>
      </c>
      <c r="AP15" s="192"/>
      <c r="AQ15" s="179"/>
      <c r="AR15" s="179"/>
      <c r="AS15" s="171"/>
      <c r="AT15" s="171"/>
      <c r="AU15" s="171"/>
      <c r="AV15" s="183">
        <v>0</v>
      </c>
      <c r="AW15" s="184">
        <f>ROUND(SUM(AD15:AU15)-AV15,-3)</f>
        <v>3570000</v>
      </c>
      <c r="AX15" s="178">
        <f>ROUND((D15-F15-4500000)*(J15)/$A$5*$B$5,-3)</f>
        <v>0</v>
      </c>
      <c r="AY15" s="185">
        <f>AE15</f>
        <v>0</v>
      </c>
      <c r="AZ15" s="185">
        <f t="shared" si="11"/>
        <v>0</v>
      </c>
      <c r="BA15" s="186">
        <f t="shared" si="5"/>
        <v>18000</v>
      </c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8">
        <f t="shared" si="7"/>
        <v>18000</v>
      </c>
      <c r="BR15" s="187"/>
      <c r="BS15" s="187"/>
      <c r="BT15" s="188">
        <f t="shared" si="8"/>
        <v>3552000</v>
      </c>
      <c r="BU15" s="187"/>
      <c r="BV15" s="187">
        <v>0</v>
      </c>
      <c r="BW15" s="187">
        <f t="shared" si="9"/>
        <v>0</v>
      </c>
      <c r="BX15" s="188">
        <f t="shared" si="10"/>
        <v>3552000</v>
      </c>
    </row>
    <row r="16" spans="1:77" s="196" customFormat="1" ht="47.45" customHeight="1" x14ac:dyDescent="0.25">
      <c r="A16" s="167">
        <v>6</v>
      </c>
      <c r="B16" s="168" t="s">
        <v>45</v>
      </c>
      <c r="C16" s="167" t="s">
        <v>24</v>
      </c>
      <c r="D16" s="170">
        <v>14700000</v>
      </c>
      <c r="E16" s="173"/>
      <c r="F16" s="172">
        <v>6500000</v>
      </c>
      <c r="G16" s="173">
        <v>7510000</v>
      </c>
      <c r="H16" s="173"/>
      <c r="I16" s="174" t="str">
        <f>'[2]11. Xếp loại'!E13</f>
        <v>A</v>
      </c>
      <c r="J16" s="175">
        <f>'[2]3. Chấm công'!AR13</f>
        <v>10</v>
      </c>
      <c r="K16" s="175">
        <f>'[2]3. Chấm công'!AI13</f>
        <v>10</v>
      </c>
      <c r="L16" s="175">
        <f>'[2]3. Chấm công'!AL13</f>
        <v>0</v>
      </c>
      <c r="M16" s="175">
        <f>'[2]3. Chấm công'!AJ13</f>
        <v>0</v>
      </c>
      <c r="N16" s="175"/>
      <c r="O16" s="175">
        <f>'[2]3. Chấm công'!AK13</f>
        <v>0</v>
      </c>
      <c r="P16" s="194">
        <f>'[2]3. Chấm công'!AT13</f>
        <v>0</v>
      </c>
      <c r="Q16" s="176"/>
      <c r="R16" s="176"/>
      <c r="S16" s="176">
        <f>'[2]3. Chấm công'!AP13</f>
        <v>0</v>
      </c>
      <c r="T16" s="191">
        <f>'[2]6. THKH tháng'!BE29</f>
        <v>50</v>
      </c>
      <c r="U16" s="191">
        <f>'[2]6. THKH tháng'!BF29</f>
        <v>0</v>
      </c>
      <c r="V16" s="191">
        <f>'[2]6. THKH tháng'!BE30</f>
        <v>0</v>
      </c>
      <c r="W16" s="191"/>
      <c r="X16" s="191">
        <f>'[2]6. THKH tháng'!BG28</f>
        <v>0</v>
      </c>
      <c r="Y16" s="191">
        <f>'[2]6. THKH tháng'!BH28</f>
        <v>0</v>
      </c>
      <c r="Z16" s="191">
        <f>'[2]6. THKH tháng'!BG29</f>
        <v>0</v>
      </c>
      <c r="AA16" s="191">
        <f>'[2]6. THKH tháng'!BH29</f>
        <v>0</v>
      </c>
      <c r="AB16" s="191">
        <f>'[2]6. THKH tháng'!BG30</f>
        <v>0.5</v>
      </c>
      <c r="AC16" s="191">
        <f>'[2]6. THKH tháng'!BH30</f>
        <v>0</v>
      </c>
      <c r="AD16" s="174">
        <f t="shared" ref="AD16:AD23" si="12">ROUND(F16*(J16)/$A$5*$B$5,-3)</f>
        <v>2763000</v>
      </c>
      <c r="AE16" s="178">
        <f t="shared" ref="AE16:AE23" si="13">ROUND(IF(I16="A",(D16-F16-4500000)*(J16)/$A$5*$B$5,IF(I16="B",(D16-F16-4500000)*0.5*(J16)/$A$5*$B$5,IF(I16="C",0))),-3)</f>
        <v>1573000</v>
      </c>
      <c r="AF16" s="179">
        <f t="shared" ref="AF16:AF27" si="14">ROUND(G16*(K16)/$A$5,-3)</f>
        <v>3755000</v>
      </c>
      <c r="AG16" s="179"/>
      <c r="AH16" s="179">
        <f t="shared" si="6"/>
        <v>0</v>
      </c>
      <c r="AI16" s="179">
        <f t="shared" ref="AI16:AI22" si="15">ROUND(G16*(L16)/$A$5,-3)</f>
        <v>0</v>
      </c>
      <c r="AJ16" s="179">
        <f t="shared" ref="AJ16:AJ26" si="16">ROUND(G16*N16/$A$5*85%,-3)</f>
        <v>0</v>
      </c>
      <c r="AK16" s="180">
        <f t="shared" si="0"/>
        <v>0</v>
      </c>
      <c r="AL16" s="181">
        <f t="shared" si="1"/>
        <v>22000</v>
      </c>
      <c r="AM16" s="181">
        <f t="shared" si="2"/>
        <v>0</v>
      </c>
      <c r="AN16" s="181">
        <f>ROUND((T16*43000+V16*43000),-3)</f>
        <v>2150000</v>
      </c>
      <c r="AO16" s="181">
        <f t="shared" si="4"/>
        <v>0</v>
      </c>
      <c r="AP16" s="192">
        <f t="shared" ref="AP16:AP21" si="17">ROUND((IF(I16="A",0,IF(I16="B",-(1330000)*50%,IF(I16="C",-(1330000)*100%))))*(J16)/$A$5,-3)</f>
        <v>0</v>
      </c>
      <c r="AQ16" s="197"/>
      <c r="AR16" s="179">
        <f>E16*(J16+K16)/$A$5</f>
        <v>0</v>
      </c>
      <c r="AS16" s="179"/>
      <c r="AT16" s="179"/>
      <c r="AU16" s="179"/>
      <c r="AV16" s="198">
        <v>706000</v>
      </c>
      <c r="AW16" s="184">
        <f t="shared" ref="AW16:AW27" si="18">ROUND(SUM(AD16:AU16)-AV16,-3)</f>
        <v>9557000</v>
      </c>
      <c r="AX16" s="178">
        <f t="shared" ref="AX16:AX23" si="19">ROUND((D16-F16-4500000)*(J16)/$A$5*$B$5,-3)</f>
        <v>1573000</v>
      </c>
      <c r="AY16" s="185">
        <f t="shared" ref="AY16:AY27" si="20">AE16</f>
        <v>1573000</v>
      </c>
      <c r="AZ16" s="185">
        <f t="shared" si="11"/>
        <v>0</v>
      </c>
      <c r="BA16" s="186">
        <f t="shared" si="5"/>
        <v>44000</v>
      </c>
      <c r="BB16" s="187">
        <v>655200</v>
      </c>
      <c r="BC16" s="187">
        <v>112650</v>
      </c>
      <c r="BD16" s="187">
        <v>81900</v>
      </c>
      <c r="BE16" s="187"/>
      <c r="BF16" s="187"/>
      <c r="BG16" s="187"/>
      <c r="BH16" s="187"/>
      <c r="BI16" s="187"/>
      <c r="BJ16" s="187"/>
      <c r="BK16" s="187"/>
      <c r="BL16" s="187"/>
      <c r="BM16" s="187">
        <v>2022000</v>
      </c>
      <c r="BN16" s="187"/>
      <c r="BO16" s="187"/>
      <c r="BP16" s="187"/>
      <c r="BQ16" s="188">
        <f t="shared" si="7"/>
        <v>2915750</v>
      </c>
      <c r="BR16" s="187"/>
      <c r="BS16" s="187"/>
      <c r="BT16" s="188">
        <f t="shared" si="8"/>
        <v>6641250</v>
      </c>
      <c r="BU16" s="187"/>
      <c r="BV16" s="187">
        <v>10</v>
      </c>
      <c r="BW16" s="187">
        <f t="shared" si="9"/>
        <v>330000</v>
      </c>
      <c r="BX16" s="188">
        <f t="shared" si="10"/>
        <v>6971250</v>
      </c>
    </row>
    <row r="17" spans="1:77" s="196" customFormat="1" ht="47.45" customHeight="1" x14ac:dyDescent="0.25">
      <c r="A17" s="167">
        <v>7</v>
      </c>
      <c r="B17" s="168" t="s">
        <v>22</v>
      </c>
      <c r="C17" s="190" t="s">
        <v>53</v>
      </c>
      <c r="D17" s="170">
        <v>14200000</v>
      </c>
      <c r="E17" s="173">
        <v>420000</v>
      </c>
      <c r="F17" s="172">
        <v>6500000</v>
      </c>
      <c r="G17" s="173">
        <v>7140000</v>
      </c>
      <c r="H17" s="173">
        <v>420000</v>
      </c>
      <c r="I17" s="174" t="str">
        <f>'[2]11. Xếp loại'!E15</f>
        <v>A</v>
      </c>
      <c r="J17" s="175">
        <f>'[2]3. Chấm công'!AR14</f>
        <v>10</v>
      </c>
      <c r="K17" s="175">
        <f>'[2]3. Chấm công'!AI14</f>
        <v>10</v>
      </c>
      <c r="L17" s="175">
        <f>'[2]3. Chấm công'!AL14</f>
        <v>0</v>
      </c>
      <c r="M17" s="175">
        <f>'[2]3. Chấm công'!AJ14</f>
        <v>0</v>
      </c>
      <c r="N17" s="175"/>
      <c r="O17" s="175">
        <f>'[2]3. Chấm công'!AK14</f>
        <v>0</v>
      </c>
      <c r="P17" s="194">
        <f>'[2]3. Chấm công'!AT14</f>
        <v>12.5</v>
      </c>
      <c r="Q17" s="194"/>
      <c r="R17" s="194"/>
      <c r="S17" s="176">
        <f>'[2]3. Chấm công'!AP14</f>
        <v>0</v>
      </c>
      <c r="T17" s="191">
        <f>'[2]6. THKH tháng'!BE32</f>
        <v>0</v>
      </c>
      <c r="U17" s="191">
        <f>'[2]6. THKH tháng'!BF32</f>
        <v>0</v>
      </c>
      <c r="V17" s="191">
        <f>'[2]6. THKH tháng'!BE33</f>
        <v>0</v>
      </c>
      <c r="W17" s="191"/>
      <c r="X17" s="191">
        <f>'[2]6. THKH tháng'!BG31</f>
        <v>0</v>
      </c>
      <c r="Y17" s="191">
        <f>'[2]6. THKH tháng'!BH31</f>
        <v>0</v>
      </c>
      <c r="Z17" s="191">
        <f>'[2]6. THKH tháng'!BG32</f>
        <v>0</v>
      </c>
      <c r="AA17" s="191">
        <f>'[2]6. THKH tháng'!BH32</f>
        <v>0</v>
      </c>
      <c r="AB17" s="191">
        <f>'[2]6. THKH tháng'!BG33</f>
        <v>0</v>
      </c>
      <c r="AC17" s="191">
        <f>'[2]6. THKH tháng'!BH33</f>
        <v>0</v>
      </c>
      <c r="AD17" s="174">
        <f t="shared" si="12"/>
        <v>2763000</v>
      </c>
      <c r="AE17" s="178">
        <f t="shared" si="13"/>
        <v>1360000</v>
      </c>
      <c r="AF17" s="179">
        <f t="shared" si="14"/>
        <v>3570000</v>
      </c>
      <c r="AG17" s="179"/>
      <c r="AH17" s="179">
        <f t="shared" si="6"/>
        <v>0</v>
      </c>
      <c r="AI17" s="179">
        <f t="shared" si="15"/>
        <v>0</v>
      </c>
      <c r="AJ17" s="179">
        <f t="shared" si="16"/>
        <v>0</v>
      </c>
      <c r="AK17" s="180">
        <f t="shared" si="0"/>
        <v>3950000</v>
      </c>
      <c r="AL17" s="181">
        <f t="shared" si="1"/>
        <v>0</v>
      </c>
      <c r="AM17" s="181">
        <f t="shared" si="2"/>
        <v>0</v>
      </c>
      <c r="AN17" s="181">
        <f t="shared" si="3"/>
        <v>0</v>
      </c>
      <c r="AO17" s="181">
        <f t="shared" si="4"/>
        <v>0</v>
      </c>
      <c r="AP17" s="192">
        <f t="shared" si="17"/>
        <v>0</v>
      </c>
      <c r="AQ17" s="170">
        <v>420000</v>
      </c>
      <c r="AR17" s="170"/>
      <c r="AS17" s="179"/>
      <c r="AT17" s="179"/>
      <c r="AU17" s="179"/>
      <c r="AV17" s="184">
        <v>677000</v>
      </c>
      <c r="AW17" s="184">
        <f t="shared" si="18"/>
        <v>11386000</v>
      </c>
      <c r="AX17" s="178">
        <f t="shared" si="19"/>
        <v>1360000</v>
      </c>
      <c r="AY17" s="185">
        <f t="shared" si="20"/>
        <v>1360000</v>
      </c>
      <c r="AZ17" s="185">
        <f t="shared" si="11"/>
        <v>0</v>
      </c>
      <c r="BA17" s="186">
        <f t="shared" si="5"/>
        <v>53000</v>
      </c>
      <c r="BB17" s="187">
        <v>656800</v>
      </c>
      <c r="BC17" s="187">
        <v>113400</v>
      </c>
      <c r="BD17" s="187">
        <v>82100</v>
      </c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>
        <v>800000</v>
      </c>
      <c r="BQ17" s="188">
        <f t="shared" si="7"/>
        <v>1705300</v>
      </c>
      <c r="BR17" s="187"/>
      <c r="BS17" s="187"/>
      <c r="BT17" s="188">
        <f t="shared" si="8"/>
        <v>9680700</v>
      </c>
      <c r="BU17" s="187"/>
      <c r="BV17" s="187">
        <v>10</v>
      </c>
      <c r="BW17" s="187">
        <f t="shared" si="9"/>
        <v>330000</v>
      </c>
      <c r="BX17" s="188">
        <f t="shared" si="10"/>
        <v>10010700</v>
      </c>
    </row>
    <row r="18" spans="1:77" s="196" customFormat="1" ht="47.45" customHeight="1" x14ac:dyDescent="0.25">
      <c r="A18" s="167">
        <v>8</v>
      </c>
      <c r="B18" s="199" t="s">
        <v>54</v>
      </c>
      <c r="C18" s="167" t="s">
        <v>24</v>
      </c>
      <c r="D18" s="170">
        <v>13690000</v>
      </c>
      <c r="E18" s="175"/>
      <c r="F18" s="172">
        <v>6500000</v>
      </c>
      <c r="G18" s="173">
        <v>6800000</v>
      </c>
      <c r="H18" s="173"/>
      <c r="I18" s="174" t="str">
        <f>'[2]11. Xếp loại'!E16</f>
        <v>A</v>
      </c>
      <c r="J18" s="175">
        <f>'[2]3. Chấm công'!AR15</f>
        <v>10</v>
      </c>
      <c r="K18" s="175">
        <f>'[2]3. Chấm công'!AI15</f>
        <v>10</v>
      </c>
      <c r="L18" s="175">
        <f>'[2]3. Chấm công'!AL15</f>
        <v>0</v>
      </c>
      <c r="M18" s="175">
        <f>'[2]3. Chấm công'!AJ15</f>
        <v>0</v>
      </c>
      <c r="N18" s="175"/>
      <c r="O18" s="175">
        <f>'[2]3. Chấm công'!AK15</f>
        <v>0</v>
      </c>
      <c r="P18" s="194">
        <f>'[2]3. Chấm công'!AT15</f>
        <v>0</v>
      </c>
      <c r="Q18" s="194"/>
      <c r="R18" s="194"/>
      <c r="S18" s="176">
        <f>'[2]3. Chấm công'!AP15</f>
        <v>0</v>
      </c>
      <c r="T18" s="191">
        <f>'[2]6. THKH tháng'!BE35</f>
        <v>0</v>
      </c>
      <c r="U18" s="191">
        <f>'[2]6. THKH tháng'!BF35</f>
        <v>0</v>
      </c>
      <c r="V18" s="191">
        <f>'[2]6. THKH tháng'!BE36</f>
        <v>0</v>
      </c>
      <c r="W18" s="191">
        <f>'[2]6. THKH tháng'!BF36</f>
        <v>0</v>
      </c>
      <c r="X18" s="191">
        <f>'[2]6. THKH tháng'!BG34</f>
        <v>0</v>
      </c>
      <c r="Y18" s="191">
        <f>'[2]6. THKH tháng'!BH34</f>
        <v>0</v>
      </c>
      <c r="Z18" s="191">
        <f>'[2]6. THKH tháng'!BG35</f>
        <v>0</v>
      </c>
      <c r="AA18" s="191">
        <f>'[2]6. THKH tháng'!BH35</f>
        <v>0</v>
      </c>
      <c r="AB18" s="191">
        <f>'[2]6. THKH tháng'!BG36</f>
        <v>0</v>
      </c>
      <c r="AC18" s="191">
        <f>'[2]6. THKH tháng'!BH36</f>
        <v>0</v>
      </c>
      <c r="AD18" s="174">
        <f t="shared" si="12"/>
        <v>2763000</v>
      </c>
      <c r="AE18" s="178">
        <f t="shared" si="13"/>
        <v>1143000</v>
      </c>
      <c r="AF18" s="179">
        <f t="shared" si="14"/>
        <v>3400000</v>
      </c>
      <c r="AG18" s="179"/>
      <c r="AH18" s="179">
        <f t="shared" si="6"/>
        <v>0</v>
      </c>
      <c r="AI18" s="179">
        <f t="shared" si="15"/>
        <v>0</v>
      </c>
      <c r="AJ18" s="179">
        <f t="shared" si="16"/>
        <v>0</v>
      </c>
      <c r="AK18" s="180">
        <f>ROUND(P18*316000,-3)+ROUND(O18*316000,-3)</f>
        <v>0</v>
      </c>
      <c r="AL18" s="181">
        <f t="shared" si="1"/>
        <v>0</v>
      </c>
      <c r="AM18" s="181">
        <f t="shared" si="2"/>
        <v>0</v>
      </c>
      <c r="AN18" s="181">
        <f t="shared" si="3"/>
        <v>0</v>
      </c>
      <c r="AO18" s="181">
        <f t="shared" si="4"/>
        <v>0</v>
      </c>
      <c r="AP18" s="192">
        <f t="shared" si="17"/>
        <v>0</v>
      </c>
      <c r="AQ18" s="197"/>
      <c r="AR18" s="179">
        <f>E18*(J18+K18)/$A$5</f>
        <v>0</v>
      </c>
      <c r="AS18" s="179"/>
      <c r="AT18" s="179"/>
      <c r="AU18" s="179"/>
      <c r="AV18" s="184">
        <v>649000</v>
      </c>
      <c r="AW18" s="184">
        <f t="shared" si="18"/>
        <v>6657000</v>
      </c>
      <c r="AX18" s="178">
        <f t="shared" si="19"/>
        <v>1143000</v>
      </c>
      <c r="AY18" s="185">
        <f t="shared" si="20"/>
        <v>1143000</v>
      </c>
      <c r="AZ18" s="185">
        <f t="shared" si="11"/>
        <v>0</v>
      </c>
      <c r="BA18" s="186">
        <f t="shared" si="5"/>
        <v>29000</v>
      </c>
      <c r="BB18" s="187">
        <v>593600</v>
      </c>
      <c r="BC18" s="187">
        <v>102000</v>
      </c>
      <c r="BD18" s="187">
        <v>74200</v>
      </c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8">
        <f t="shared" si="7"/>
        <v>798800</v>
      </c>
      <c r="BR18" s="187"/>
      <c r="BS18" s="187"/>
      <c r="BT18" s="188">
        <f t="shared" si="8"/>
        <v>5858200</v>
      </c>
      <c r="BU18" s="187"/>
      <c r="BV18" s="187">
        <v>10</v>
      </c>
      <c r="BW18" s="187">
        <f t="shared" si="9"/>
        <v>330000</v>
      </c>
      <c r="BX18" s="188">
        <f t="shared" si="10"/>
        <v>6188200</v>
      </c>
      <c r="BY18" s="200"/>
    </row>
    <row r="19" spans="1:77" s="200" customFormat="1" ht="47.45" customHeight="1" x14ac:dyDescent="0.25">
      <c r="A19" s="167">
        <v>9</v>
      </c>
      <c r="B19" s="199" t="s">
        <v>56</v>
      </c>
      <c r="C19" s="167" t="s">
        <v>24</v>
      </c>
      <c r="D19" s="170">
        <v>13690000</v>
      </c>
      <c r="E19" s="175"/>
      <c r="F19" s="172">
        <v>6500000</v>
      </c>
      <c r="G19" s="173">
        <v>6800000</v>
      </c>
      <c r="H19" s="173"/>
      <c r="I19" s="174" t="str">
        <f>'[2]11. Xếp loại'!E17</f>
        <v>A</v>
      </c>
      <c r="J19" s="175">
        <f>'[2]3. Chấm công'!AR16</f>
        <v>10</v>
      </c>
      <c r="K19" s="175">
        <f>'[2]3. Chấm công'!AI16</f>
        <v>10</v>
      </c>
      <c r="L19" s="175">
        <f>'[2]3. Chấm công'!AL16</f>
        <v>0</v>
      </c>
      <c r="M19" s="175">
        <f>'[2]3. Chấm công'!AJ16</f>
        <v>0</v>
      </c>
      <c r="N19" s="175"/>
      <c r="O19" s="175">
        <f>'[2]3. Chấm công'!AK16</f>
        <v>0</v>
      </c>
      <c r="P19" s="194">
        <f>'[2]3. Chấm công'!AT16</f>
        <v>18.5</v>
      </c>
      <c r="Q19" s="176"/>
      <c r="R19" s="176"/>
      <c r="S19" s="176">
        <f>'[2]3. Chấm công'!AP16</f>
        <v>0</v>
      </c>
      <c r="T19" s="191">
        <f>'[2]6. THKH tháng'!BE38</f>
        <v>80</v>
      </c>
      <c r="U19" s="191">
        <f>'[2]6. THKH tháng'!BF38</f>
        <v>0</v>
      </c>
      <c r="V19" s="191">
        <f>'[2]6. THKH tháng'!BE39</f>
        <v>0</v>
      </c>
      <c r="W19" s="191">
        <f>'[2]6. THKH tháng'!BF39</f>
        <v>0</v>
      </c>
      <c r="X19" s="191">
        <f>'[2]6. THKH tháng'!BG37</f>
        <v>0</v>
      </c>
      <c r="Y19" s="191">
        <f>'[2]6. THKH tháng'!BH37</f>
        <v>0</v>
      </c>
      <c r="Z19" s="191">
        <f>'[2]6. THKH tháng'!BG38</f>
        <v>16</v>
      </c>
      <c r="AA19" s="191">
        <f>'[2]6. THKH tháng'!BH38</f>
        <v>0</v>
      </c>
      <c r="AB19" s="191">
        <f>'[2]6. THKH tháng'!BG39</f>
        <v>30</v>
      </c>
      <c r="AC19" s="191">
        <f>'[2]6. THKH tháng'!BH39</f>
        <v>0</v>
      </c>
      <c r="AD19" s="174">
        <f t="shared" si="12"/>
        <v>2763000</v>
      </c>
      <c r="AE19" s="178">
        <f t="shared" si="13"/>
        <v>1143000</v>
      </c>
      <c r="AF19" s="179">
        <f t="shared" si="14"/>
        <v>3400000</v>
      </c>
      <c r="AG19" s="179"/>
      <c r="AH19" s="179">
        <f t="shared" si="6"/>
        <v>0</v>
      </c>
      <c r="AI19" s="179">
        <f t="shared" si="15"/>
        <v>0</v>
      </c>
      <c r="AJ19" s="179">
        <f t="shared" si="16"/>
        <v>0</v>
      </c>
      <c r="AK19" s="180">
        <f t="shared" ref="AK19:AK27" si="21">ROUND(P19*316000,-3)</f>
        <v>5846000</v>
      </c>
      <c r="AL19" s="181">
        <f t="shared" si="1"/>
        <v>1978000</v>
      </c>
      <c r="AM19" s="181">
        <f t="shared" si="2"/>
        <v>0</v>
      </c>
      <c r="AN19" s="181">
        <f>ROUND((T19*43000+V19*43000),-3)</f>
        <v>3440000</v>
      </c>
      <c r="AO19" s="181">
        <f t="shared" si="4"/>
        <v>0</v>
      </c>
      <c r="AP19" s="192">
        <f t="shared" si="17"/>
        <v>0</v>
      </c>
      <c r="AQ19" s="197"/>
      <c r="AR19" s="179">
        <f>E19*(J19+K19)/$A$5</f>
        <v>0</v>
      </c>
      <c r="AS19" s="174"/>
      <c r="AT19" s="174"/>
      <c r="AU19" s="174"/>
      <c r="AV19" s="184">
        <v>649000</v>
      </c>
      <c r="AW19" s="184">
        <f t="shared" si="18"/>
        <v>17921000</v>
      </c>
      <c r="AX19" s="178">
        <f t="shared" si="19"/>
        <v>1143000</v>
      </c>
      <c r="AY19" s="185">
        <f t="shared" si="20"/>
        <v>1143000</v>
      </c>
      <c r="AZ19" s="185">
        <f t="shared" si="11"/>
        <v>0</v>
      </c>
      <c r="BA19" s="186">
        <f t="shared" si="5"/>
        <v>86000</v>
      </c>
      <c r="BB19" s="187">
        <v>593600</v>
      </c>
      <c r="BC19" s="187">
        <v>102000</v>
      </c>
      <c r="BD19" s="187">
        <v>74200</v>
      </c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8">
        <f t="shared" si="7"/>
        <v>855800</v>
      </c>
      <c r="BR19" s="187"/>
      <c r="BS19" s="187"/>
      <c r="BT19" s="188">
        <f t="shared" si="8"/>
        <v>17065200</v>
      </c>
      <c r="BU19" s="187"/>
      <c r="BV19" s="187">
        <v>10</v>
      </c>
      <c r="BW19" s="187">
        <f t="shared" si="9"/>
        <v>330000</v>
      </c>
      <c r="BX19" s="188">
        <f t="shared" si="10"/>
        <v>17395200</v>
      </c>
    </row>
    <row r="20" spans="1:77" s="200" customFormat="1" ht="47.45" customHeight="1" x14ac:dyDescent="0.25">
      <c r="A20" s="167">
        <v>10</v>
      </c>
      <c r="B20" s="199" t="s">
        <v>59</v>
      </c>
      <c r="C20" s="167" t="s">
        <v>24</v>
      </c>
      <c r="D20" s="170">
        <v>14200000</v>
      </c>
      <c r="E20" s="175"/>
      <c r="F20" s="172">
        <v>6500000</v>
      </c>
      <c r="G20" s="173">
        <v>7140000</v>
      </c>
      <c r="H20" s="173"/>
      <c r="I20" s="174" t="str">
        <f>'[2]11. Xếp loại'!E18</f>
        <v>A</v>
      </c>
      <c r="J20" s="175">
        <f>'[2]3. Chấm công'!AR17</f>
        <v>10</v>
      </c>
      <c r="K20" s="175">
        <f>'[2]3. Chấm công'!AI17</f>
        <v>10</v>
      </c>
      <c r="L20" s="175">
        <f>'[2]3. Chấm công'!AL17</f>
        <v>0</v>
      </c>
      <c r="M20" s="175">
        <f>'[2]3. Chấm công'!AJ17</f>
        <v>0</v>
      </c>
      <c r="N20" s="175"/>
      <c r="O20" s="175">
        <f>'[2]3. Chấm công'!AK17</f>
        <v>0</v>
      </c>
      <c r="P20" s="194">
        <f>'[2]3. Chấm công'!AT17</f>
        <v>0</v>
      </c>
      <c r="Q20" s="176"/>
      <c r="R20" s="176"/>
      <c r="S20" s="176">
        <f>'[2]3. Chấm công'!AP17</f>
        <v>0</v>
      </c>
      <c r="T20" s="191">
        <f>'[2]6. THKH tháng'!BE41</f>
        <v>0</v>
      </c>
      <c r="U20" s="191">
        <f>'[2]6. THKH tháng'!BF41</f>
        <v>0</v>
      </c>
      <c r="V20" s="191">
        <f>'[2]6. THKH tháng'!BE42</f>
        <v>60</v>
      </c>
      <c r="W20" s="191">
        <f>'[2]6. THKH tháng'!BF42</f>
        <v>0</v>
      </c>
      <c r="X20" s="191">
        <f>'[2]6. THKH tháng'!BG40</f>
        <v>0</v>
      </c>
      <c r="Y20" s="191">
        <f>'[2]6. THKH tháng'!BH40</f>
        <v>0</v>
      </c>
      <c r="Z20" s="191">
        <f>'[2]6. THKH tháng'!BG41</f>
        <v>0</v>
      </c>
      <c r="AA20" s="191">
        <f>'[2]6. THKH tháng'!BH41</f>
        <v>0</v>
      </c>
      <c r="AB20" s="191">
        <f>'[2]6. THKH tháng'!BG42</f>
        <v>1.8166666666666629</v>
      </c>
      <c r="AC20" s="191">
        <f>'[2]6. THKH tháng'!BH42</f>
        <v>2.1833333333333371</v>
      </c>
      <c r="AD20" s="174">
        <f t="shared" si="12"/>
        <v>2763000</v>
      </c>
      <c r="AE20" s="178">
        <f t="shared" si="13"/>
        <v>1360000</v>
      </c>
      <c r="AF20" s="179">
        <f t="shared" si="14"/>
        <v>3570000</v>
      </c>
      <c r="AG20" s="179"/>
      <c r="AH20" s="179">
        <f t="shared" si="6"/>
        <v>0</v>
      </c>
      <c r="AI20" s="179">
        <f t="shared" si="15"/>
        <v>0</v>
      </c>
      <c r="AJ20" s="179">
        <f t="shared" si="16"/>
        <v>0</v>
      </c>
      <c r="AK20" s="180">
        <f t="shared" si="21"/>
        <v>0</v>
      </c>
      <c r="AL20" s="181">
        <f t="shared" si="1"/>
        <v>78000</v>
      </c>
      <c r="AM20" s="181">
        <f t="shared" si="2"/>
        <v>118000</v>
      </c>
      <c r="AN20" s="181">
        <f t="shared" si="3"/>
        <v>2580000</v>
      </c>
      <c r="AO20" s="181">
        <f t="shared" si="4"/>
        <v>0</v>
      </c>
      <c r="AP20" s="192">
        <f t="shared" si="17"/>
        <v>0</v>
      </c>
      <c r="AQ20" s="197"/>
      <c r="AR20" s="179">
        <f>E20*(J20+K20)/$A$5</f>
        <v>0</v>
      </c>
      <c r="AS20" s="174"/>
      <c r="AT20" s="174"/>
      <c r="AU20" s="174"/>
      <c r="AV20" s="184">
        <v>677000</v>
      </c>
      <c r="AW20" s="184">
        <f t="shared" si="18"/>
        <v>9792000</v>
      </c>
      <c r="AX20" s="178">
        <f t="shared" si="19"/>
        <v>1360000</v>
      </c>
      <c r="AY20" s="185">
        <f t="shared" si="20"/>
        <v>1360000</v>
      </c>
      <c r="AZ20" s="185">
        <f t="shared" si="11"/>
        <v>0</v>
      </c>
      <c r="BA20" s="186">
        <f t="shared" si="5"/>
        <v>45000</v>
      </c>
      <c r="BB20" s="187">
        <v>623200</v>
      </c>
      <c r="BC20" s="187">
        <v>107100</v>
      </c>
      <c r="BD20" s="187">
        <v>77900</v>
      </c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8">
        <f t="shared" si="7"/>
        <v>853200</v>
      </c>
      <c r="BR20" s="187"/>
      <c r="BS20" s="187"/>
      <c r="BT20" s="188">
        <f t="shared" si="8"/>
        <v>8938800</v>
      </c>
      <c r="BU20" s="187"/>
      <c r="BV20" s="187">
        <v>10</v>
      </c>
      <c r="BW20" s="187">
        <f t="shared" si="9"/>
        <v>330000</v>
      </c>
      <c r="BX20" s="188">
        <f t="shared" si="10"/>
        <v>9268800</v>
      </c>
    </row>
    <row r="21" spans="1:77" s="200" customFormat="1" ht="47.45" customHeight="1" x14ac:dyDescent="0.25">
      <c r="A21" s="167">
        <v>11</v>
      </c>
      <c r="B21" s="199" t="s">
        <v>60</v>
      </c>
      <c r="C21" s="167" t="s">
        <v>24</v>
      </c>
      <c r="D21" s="170">
        <v>14200000</v>
      </c>
      <c r="E21" s="175"/>
      <c r="F21" s="172">
        <v>6500000</v>
      </c>
      <c r="G21" s="173">
        <v>7140000</v>
      </c>
      <c r="H21" s="173"/>
      <c r="I21" s="174" t="s">
        <v>21</v>
      </c>
      <c r="J21" s="175">
        <f>'[2]3. Chấm công'!AR18</f>
        <v>10</v>
      </c>
      <c r="K21" s="175">
        <f>'[2]3. Chấm công'!AI18</f>
        <v>10</v>
      </c>
      <c r="L21" s="175">
        <f>'[2]3. Chấm công'!AL18</f>
        <v>0</v>
      </c>
      <c r="M21" s="175">
        <f>'[2]3. Chấm công'!AJ18</f>
        <v>0</v>
      </c>
      <c r="N21" s="175"/>
      <c r="O21" s="175">
        <f>'[2]3. Chấm công'!AK18</f>
        <v>0</v>
      </c>
      <c r="P21" s="194">
        <f>'[2]3. Chấm công'!AT18</f>
        <v>0</v>
      </c>
      <c r="Q21" s="176"/>
      <c r="R21" s="176"/>
      <c r="S21" s="171">
        <f>'[2]3. Chấm công'!AP18</f>
        <v>0</v>
      </c>
      <c r="T21" s="191">
        <f>'[2]6. THKH tháng'!BE44</f>
        <v>0</v>
      </c>
      <c r="U21" s="191">
        <f>'[2]6. THKH tháng'!BF44</f>
        <v>0</v>
      </c>
      <c r="V21" s="191">
        <f>'[2]6. THKH tháng'!BE45</f>
        <v>70</v>
      </c>
      <c r="W21" s="191">
        <f>'[2]6. THKH tháng'!BF45</f>
        <v>0</v>
      </c>
      <c r="X21" s="191">
        <f>'[2]6. THKH tháng'!BG43</f>
        <v>0</v>
      </c>
      <c r="Y21" s="191">
        <f>'[2]6. THKH tháng'!BH43</f>
        <v>0</v>
      </c>
      <c r="Z21" s="191">
        <f>'[2]6. THKH tháng'!BG44</f>
        <v>0.90000000000000568</v>
      </c>
      <c r="AA21" s="191">
        <f>'[2]6. THKH tháng'!BH44</f>
        <v>0</v>
      </c>
      <c r="AB21" s="191">
        <f>'[2]6. THKH tháng'!BG45</f>
        <v>6</v>
      </c>
      <c r="AC21" s="191">
        <f>'[2]6. THKH tháng'!BH45</f>
        <v>0</v>
      </c>
      <c r="AD21" s="174">
        <f t="shared" si="12"/>
        <v>2763000</v>
      </c>
      <c r="AE21" s="178">
        <f t="shared" si="13"/>
        <v>1360000</v>
      </c>
      <c r="AF21" s="179">
        <f t="shared" si="14"/>
        <v>3570000</v>
      </c>
      <c r="AG21" s="179"/>
      <c r="AH21" s="179">
        <f t="shared" si="6"/>
        <v>0</v>
      </c>
      <c r="AI21" s="179">
        <f t="shared" si="15"/>
        <v>0</v>
      </c>
      <c r="AJ21" s="179">
        <f t="shared" si="16"/>
        <v>0</v>
      </c>
      <c r="AK21" s="180">
        <f t="shared" si="21"/>
        <v>0</v>
      </c>
      <c r="AL21" s="181">
        <f t="shared" si="1"/>
        <v>297000</v>
      </c>
      <c r="AM21" s="181">
        <f t="shared" si="2"/>
        <v>0</v>
      </c>
      <c r="AN21" s="181">
        <f t="shared" si="3"/>
        <v>3010000</v>
      </c>
      <c r="AO21" s="181">
        <f t="shared" si="4"/>
        <v>0</v>
      </c>
      <c r="AP21" s="192">
        <f t="shared" si="17"/>
        <v>0</v>
      </c>
      <c r="AQ21" s="197"/>
      <c r="AR21" s="179">
        <f>E21*(J21+K21)/$A$5</f>
        <v>0</v>
      </c>
      <c r="AS21" s="174"/>
      <c r="AT21" s="174"/>
      <c r="AU21" s="174"/>
      <c r="AV21" s="184">
        <v>677000</v>
      </c>
      <c r="AW21" s="184">
        <f t="shared" si="18"/>
        <v>10323000</v>
      </c>
      <c r="AX21" s="178">
        <f t="shared" si="19"/>
        <v>1360000</v>
      </c>
      <c r="AY21" s="185">
        <f t="shared" si="20"/>
        <v>1360000</v>
      </c>
      <c r="AZ21" s="185">
        <f t="shared" si="11"/>
        <v>0</v>
      </c>
      <c r="BA21" s="186">
        <f t="shared" si="5"/>
        <v>48000</v>
      </c>
      <c r="BB21" s="187">
        <v>623200</v>
      </c>
      <c r="BC21" s="187">
        <v>107100</v>
      </c>
      <c r="BD21" s="187">
        <v>77900</v>
      </c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8">
        <f t="shared" si="7"/>
        <v>856200</v>
      </c>
      <c r="BR21" s="187"/>
      <c r="BS21" s="187"/>
      <c r="BT21" s="188">
        <f t="shared" si="8"/>
        <v>9466800</v>
      </c>
      <c r="BU21" s="187"/>
      <c r="BV21" s="187">
        <v>10</v>
      </c>
      <c r="BW21" s="187">
        <f t="shared" si="9"/>
        <v>330000</v>
      </c>
      <c r="BX21" s="188">
        <f t="shared" si="10"/>
        <v>9796800</v>
      </c>
    </row>
    <row r="22" spans="1:77" s="200" customFormat="1" ht="47.45" customHeight="1" x14ac:dyDescent="0.25">
      <c r="A22" s="167">
        <v>12</v>
      </c>
      <c r="B22" s="199" t="s">
        <v>62</v>
      </c>
      <c r="C22" s="167" t="s">
        <v>24</v>
      </c>
      <c r="D22" s="170">
        <v>14700000</v>
      </c>
      <c r="E22" s="175"/>
      <c r="F22" s="172">
        <v>6500000</v>
      </c>
      <c r="G22" s="173">
        <v>7510000</v>
      </c>
      <c r="H22" s="173"/>
      <c r="I22" s="174" t="s">
        <v>21</v>
      </c>
      <c r="J22" s="175">
        <f>'[2]3. Chấm công'!AR19</f>
        <v>10</v>
      </c>
      <c r="K22" s="175">
        <f>'[2]3. Chấm công'!AI19</f>
        <v>10</v>
      </c>
      <c r="L22" s="175">
        <f>'[2]3. Chấm công'!AL19</f>
        <v>0</v>
      </c>
      <c r="M22" s="175">
        <f>'[2]3. Chấm công'!AJ19</f>
        <v>0</v>
      </c>
      <c r="N22" s="175"/>
      <c r="O22" s="175">
        <f>'[2]3. Chấm công'!AK19</f>
        <v>0</v>
      </c>
      <c r="P22" s="194">
        <f>'[2]3. Chấm công'!AT19</f>
        <v>0</v>
      </c>
      <c r="Q22" s="176"/>
      <c r="R22" s="176"/>
      <c r="S22" s="176">
        <f>'[2]3. Chấm công'!AP19</f>
        <v>0</v>
      </c>
      <c r="T22" s="191">
        <f>'[2]6. THKH tháng'!BE47</f>
        <v>0</v>
      </c>
      <c r="U22" s="191">
        <f>'[2]6. THKH tháng'!BF47</f>
        <v>0</v>
      </c>
      <c r="V22" s="191">
        <f>'[2]6. THKH tháng'!BE48</f>
        <v>0</v>
      </c>
      <c r="W22" s="191">
        <f>'[2]6. THKH tháng'!BF48</f>
        <v>0</v>
      </c>
      <c r="X22" s="191">
        <f>'[2]6. THKH tháng'!BG46</f>
        <v>0</v>
      </c>
      <c r="Y22" s="191">
        <f>'[2]6. THKH tháng'!BH46</f>
        <v>0</v>
      </c>
      <c r="Z22" s="191">
        <f>'[2]6. THKH tháng'!BG47</f>
        <v>0</v>
      </c>
      <c r="AA22" s="191">
        <f>'[2]6. THKH tháng'!BH47</f>
        <v>0</v>
      </c>
      <c r="AB22" s="191">
        <f>'[2]6. THKH tháng'!BG48</f>
        <v>27.916666666666671</v>
      </c>
      <c r="AC22" s="191">
        <f>'[2]6. THKH tháng'!BH48</f>
        <v>0</v>
      </c>
      <c r="AD22" s="174">
        <f t="shared" si="12"/>
        <v>2763000</v>
      </c>
      <c r="AE22" s="178">
        <f t="shared" si="13"/>
        <v>1573000</v>
      </c>
      <c r="AF22" s="179">
        <f t="shared" si="14"/>
        <v>3755000</v>
      </c>
      <c r="AG22" s="179"/>
      <c r="AH22" s="179">
        <f t="shared" si="6"/>
        <v>0</v>
      </c>
      <c r="AI22" s="179">
        <f t="shared" si="15"/>
        <v>0</v>
      </c>
      <c r="AJ22" s="179">
        <f t="shared" si="16"/>
        <v>0</v>
      </c>
      <c r="AK22" s="180">
        <f t="shared" si="21"/>
        <v>0</v>
      </c>
      <c r="AL22" s="181">
        <f t="shared" si="1"/>
        <v>1200000</v>
      </c>
      <c r="AM22" s="181">
        <f t="shared" si="2"/>
        <v>0</v>
      </c>
      <c r="AN22" s="181">
        <f t="shared" si="3"/>
        <v>0</v>
      </c>
      <c r="AO22" s="181">
        <f t="shared" si="4"/>
        <v>0</v>
      </c>
      <c r="AP22" s="192"/>
      <c r="AQ22" s="197"/>
      <c r="AR22" s="179">
        <f>E22*(J22+K22)/$A$5</f>
        <v>0</v>
      </c>
      <c r="AS22" s="174"/>
      <c r="AT22" s="174"/>
      <c r="AU22" s="174"/>
      <c r="AV22" s="184">
        <v>706000</v>
      </c>
      <c r="AW22" s="184">
        <f t="shared" si="18"/>
        <v>8585000</v>
      </c>
      <c r="AX22" s="178">
        <f t="shared" si="19"/>
        <v>1573000</v>
      </c>
      <c r="AY22" s="185">
        <f t="shared" si="20"/>
        <v>1573000</v>
      </c>
      <c r="AZ22" s="185">
        <f t="shared" si="11"/>
        <v>0</v>
      </c>
      <c r="BA22" s="186">
        <f t="shared" si="5"/>
        <v>39000</v>
      </c>
      <c r="BB22" s="187">
        <v>655200</v>
      </c>
      <c r="BC22" s="187">
        <v>112650</v>
      </c>
      <c r="BD22" s="187">
        <v>81900</v>
      </c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8">
        <f t="shared" si="7"/>
        <v>888750</v>
      </c>
      <c r="BR22" s="187"/>
      <c r="BS22" s="187"/>
      <c r="BT22" s="188">
        <f t="shared" si="8"/>
        <v>7696250</v>
      </c>
      <c r="BU22" s="187"/>
      <c r="BV22" s="187">
        <v>10</v>
      </c>
      <c r="BW22" s="187">
        <f t="shared" si="9"/>
        <v>330000</v>
      </c>
      <c r="BX22" s="188">
        <f t="shared" si="10"/>
        <v>8026250</v>
      </c>
    </row>
    <row r="23" spans="1:77" s="200" customFormat="1" ht="47.45" customHeight="1" x14ac:dyDescent="0.25">
      <c r="A23" s="167">
        <v>13</v>
      </c>
      <c r="B23" s="199" t="s">
        <v>107</v>
      </c>
      <c r="C23" s="190" t="s">
        <v>108</v>
      </c>
      <c r="D23" s="170">
        <v>13690000</v>
      </c>
      <c r="E23" s="175"/>
      <c r="F23" s="172">
        <v>6500000</v>
      </c>
      <c r="G23" s="173">
        <v>6800000</v>
      </c>
      <c r="H23" s="173"/>
      <c r="I23" s="174" t="str">
        <f>'[2]11. Xếp loại'!E21</f>
        <v>A</v>
      </c>
      <c r="J23" s="175"/>
      <c r="K23" s="175">
        <f>'[2]3. Chấm công'!AI20</f>
        <v>10</v>
      </c>
      <c r="L23" s="175">
        <f>'[2]3. Chấm công'!AL20</f>
        <v>10</v>
      </c>
      <c r="M23" s="175">
        <f>'[2]3. Chấm công'!AJ20</f>
        <v>0</v>
      </c>
      <c r="N23" s="175"/>
      <c r="O23" s="175"/>
      <c r="P23" s="194">
        <f>'[2]3. Chấm công'!AT20</f>
        <v>0</v>
      </c>
      <c r="Q23" s="176"/>
      <c r="R23" s="176"/>
      <c r="S23" s="176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74">
        <f t="shared" si="12"/>
        <v>0</v>
      </c>
      <c r="AE23" s="178">
        <f t="shared" si="13"/>
        <v>0</v>
      </c>
      <c r="AF23" s="179">
        <f>ROUND(G23*(K23)/$A$5,-3)</f>
        <v>3400000</v>
      </c>
      <c r="AG23" s="179"/>
      <c r="AH23" s="179">
        <f t="shared" si="6"/>
        <v>0</v>
      </c>
      <c r="AI23" s="179">
        <f>ROUND(G23*(L23)/$A$5,-3)</f>
        <v>3400000</v>
      </c>
      <c r="AJ23" s="179">
        <f>ROUND(G23*N23/$A$5*85%,-3)</f>
        <v>0</v>
      </c>
      <c r="AK23" s="180">
        <f t="shared" si="21"/>
        <v>0</v>
      </c>
      <c r="AL23" s="181">
        <f t="shared" si="1"/>
        <v>0</v>
      </c>
      <c r="AM23" s="181">
        <f t="shared" si="2"/>
        <v>0</v>
      </c>
      <c r="AN23" s="181">
        <f t="shared" si="3"/>
        <v>0</v>
      </c>
      <c r="AO23" s="181">
        <f t="shared" si="4"/>
        <v>0</v>
      </c>
      <c r="AP23" s="192">
        <f>ROUND((IF(I23="A",0,IF(I23="B",-(1330000)*50%,IF(I23="C",-(1330000)*100%))))*(J23)/$A$5,-3)</f>
        <v>0</v>
      </c>
      <c r="AQ23" s="197"/>
      <c r="AR23" s="179"/>
      <c r="AS23" s="174"/>
      <c r="AT23" s="174"/>
      <c r="AU23" s="174"/>
      <c r="AV23" s="184">
        <v>0</v>
      </c>
      <c r="AW23" s="184">
        <f t="shared" si="18"/>
        <v>6800000</v>
      </c>
      <c r="AX23" s="178">
        <f t="shared" si="19"/>
        <v>0</v>
      </c>
      <c r="AY23" s="185">
        <f t="shared" si="20"/>
        <v>0</v>
      </c>
      <c r="AZ23" s="185">
        <f t="shared" si="11"/>
        <v>0</v>
      </c>
      <c r="BA23" s="186">
        <f t="shared" si="5"/>
        <v>30000</v>
      </c>
      <c r="BB23" s="187">
        <v>593600</v>
      </c>
      <c r="BC23" s="187">
        <v>102000</v>
      </c>
      <c r="BD23" s="187">
        <v>74200</v>
      </c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8">
        <f t="shared" si="7"/>
        <v>799800</v>
      </c>
      <c r="BR23" s="187"/>
      <c r="BS23" s="187"/>
      <c r="BT23" s="188">
        <f t="shared" si="8"/>
        <v>6000200</v>
      </c>
      <c r="BU23" s="187"/>
      <c r="BV23" s="187">
        <v>10</v>
      </c>
      <c r="BW23" s="187">
        <f t="shared" si="9"/>
        <v>330000</v>
      </c>
      <c r="BX23" s="188">
        <f t="shared" si="10"/>
        <v>6330200</v>
      </c>
    </row>
    <row r="24" spans="1:77" s="196" customFormat="1" ht="47.45" customHeight="1" x14ac:dyDescent="0.25">
      <c r="A24" s="167">
        <v>14</v>
      </c>
      <c r="B24" s="168" t="s">
        <v>28</v>
      </c>
      <c r="C24" s="167" t="s">
        <v>57</v>
      </c>
      <c r="D24" s="175">
        <v>9160000</v>
      </c>
      <c r="E24" s="175"/>
      <c r="F24" s="172">
        <v>6500000</v>
      </c>
      <c r="G24" s="173">
        <v>6450000</v>
      </c>
      <c r="H24" s="173"/>
      <c r="I24" s="174" t="str">
        <f>'[2]11. Xếp loại'!E21</f>
        <v>A</v>
      </c>
      <c r="J24" s="175">
        <f>'[2]3. Chấm công'!AR21</f>
        <v>15</v>
      </c>
      <c r="K24" s="175">
        <f>'[2]3. Chấm công'!AI21</f>
        <v>5</v>
      </c>
      <c r="L24" s="175">
        <f>'[2]3. Chấm công'!AK21</f>
        <v>0</v>
      </c>
      <c r="M24" s="175">
        <f>'[2]3. Chấm công'!AJ21</f>
        <v>0</v>
      </c>
      <c r="N24" s="175"/>
      <c r="O24" s="175">
        <f>'[2]3. Chấm công'!AK21</f>
        <v>0</v>
      </c>
      <c r="P24" s="194">
        <f>'[2]3. Chấm công'!AT21</f>
        <v>7.25</v>
      </c>
      <c r="Q24" s="176"/>
      <c r="R24" s="176"/>
      <c r="S24" s="176">
        <f>'[2]3. Chấm công'!AP21</f>
        <v>0</v>
      </c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74">
        <f>ROUND(F24*(J24)/$A$5,-3)</f>
        <v>4875000</v>
      </c>
      <c r="AE24" s="178">
        <f>ROUND(IF(I24="A",(D24-F24)*(J24)/$A$5,IF(I24="B",(D24-F24)*0.5*(J24)/$A$5*$B$5,IF(I24="C",0))),-3)</f>
        <v>1995000</v>
      </c>
      <c r="AF24" s="179">
        <f t="shared" si="14"/>
        <v>1613000</v>
      </c>
      <c r="AG24" s="179"/>
      <c r="AH24" s="179">
        <f t="shared" si="6"/>
        <v>0</v>
      </c>
      <c r="AI24" s="179">
        <f>ROUND(G24*(L24)/$A$5,-3)</f>
        <v>0</v>
      </c>
      <c r="AJ24" s="179">
        <f t="shared" si="16"/>
        <v>0</v>
      </c>
      <c r="AK24" s="180">
        <f t="shared" si="21"/>
        <v>2291000</v>
      </c>
      <c r="AL24" s="181">
        <f>ROUND((X24*39000+Z24*39000+AB24*39000),-3)</f>
        <v>0</v>
      </c>
      <c r="AM24" s="181">
        <f>ROUND((AC24*52000+AA24*48600+Y24*52000),-3)</f>
        <v>0</v>
      </c>
      <c r="AN24" s="181">
        <f>ROUND((T24*39000+V24*39000),-3)</f>
        <v>0</v>
      </c>
      <c r="AO24" s="181">
        <f t="shared" si="4"/>
        <v>0</v>
      </c>
      <c r="AP24" s="192">
        <f>ROUND((IF(I24="A",0,IF(I24="B",-(1330000)*50%,IF(I24="C",-(1330000)*100%))))*(J24)/$A$5,-3)</f>
        <v>0</v>
      </c>
      <c r="AQ24" s="197"/>
      <c r="AR24" s="179">
        <f>E24*(J24+K24)/$A$5</f>
        <v>0</v>
      </c>
      <c r="AS24" s="179"/>
      <c r="AT24" s="179"/>
      <c r="AU24" s="179"/>
      <c r="AV24" s="184">
        <v>439000</v>
      </c>
      <c r="AW24" s="184">
        <f t="shared" si="18"/>
        <v>10335000</v>
      </c>
      <c r="AX24" s="178">
        <f>ROUND((D24-F24)*(J24)/$A$5,-3)</f>
        <v>1995000</v>
      </c>
      <c r="AY24" s="185">
        <f t="shared" si="20"/>
        <v>1995000</v>
      </c>
      <c r="AZ24" s="185">
        <f>AX24-AY24</f>
        <v>0</v>
      </c>
      <c r="BA24" s="186">
        <f t="shared" si="5"/>
        <v>48000</v>
      </c>
      <c r="BB24" s="187">
        <v>563200</v>
      </c>
      <c r="BC24" s="187">
        <v>96750</v>
      </c>
      <c r="BD24" s="187">
        <v>70400</v>
      </c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>
        <v>800000</v>
      </c>
      <c r="BQ24" s="188">
        <f t="shared" si="7"/>
        <v>1578350</v>
      </c>
      <c r="BR24" s="187"/>
      <c r="BS24" s="187"/>
      <c r="BT24" s="188">
        <f t="shared" si="8"/>
        <v>8756650</v>
      </c>
      <c r="BU24" s="187"/>
      <c r="BV24" s="187">
        <v>15</v>
      </c>
      <c r="BW24" s="187">
        <f t="shared" si="9"/>
        <v>495000</v>
      </c>
      <c r="BX24" s="188">
        <f t="shared" si="10"/>
        <v>9251650</v>
      </c>
    </row>
    <row r="25" spans="1:77" s="196" customFormat="1" ht="47.45" customHeight="1" x14ac:dyDescent="0.25">
      <c r="A25" s="167">
        <v>15</v>
      </c>
      <c r="B25" s="201" t="s">
        <v>48</v>
      </c>
      <c r="C25" s="167" t="s">
        <v>57</v>
      </c>
      <c r="D25" s="175">
        <v>8740000</v>
      </c>
      <c r="E25" s="175"/>
      <c r="F25" s="172">
        <v>6500000</v>
      </c>
      <c r="G25" s="173">
        <v>6140000</v>
      </c>
      <c r="H25" s="173"/>
      <c r="I25" s="174" t="str">
        <f>'[2]11. Xếp loại'!E22</f>
        <v>A</v>
      </c>
      <c r="J25" s="175">
        <f>'[2]3. Chấm công'!AR22</f>
        <v>15</v>
      </c>
      <c r="K25" s="175">
        <f>'[2]3. Chấm công'!AI22</f>
        <v>5</v>
      </c>
      <c r="L25" s="175">
        <f>'[2]3. Chấm công'!AK22</f>
        <v>0</v>
      </c>
      <c r="M25" s="175">
        <f>'[2]3. Chấm công'!AJ22</f>
        <v>0</v>
      </c>
      <c r="N25" s="175"/>
      <c r="O25" s="175"/>
      <c r="P25" s="194">
        <f>'[2]3. Chấm công'!AT22</f>
        <v>9.5</v>
      </c>
      <c r="Q25" s="176"/>
      <c r="R25" s="176"/>
      <c r="S25" s="176">
        <f>'[2]3. Chấm công'!AP22</f>
        <v>0</v>
      </c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74">
        <f>ROUND(F25*(J25)/$A$5,-3)</f>
        <v>4875000</v>
      </c>
      <c r="AE25" s="178">
        <f>ROUND(IF(I25="A",(D25-F25)*(J25)/$A$5,IF(I25="B",(D25-F25)*0.5*(J25)/$A$5*$B$5,IF(I25="C",0))),-3)</f>
        <v>1680000</v>
      </c>
      <c r="AF25" s="179">
        <f t="shared" si="14"/>
        <v>1535000</v>
      </c>
      <c r="AG25" s="179"/>
      <c r="AH25" s="179">
        <f t="shared" si="6"/>
        <v>0</v>
      </c>
      <c r="AI25" s="179">
        <f>ROUND(G25*(L25)/$A$5,-3)</f>
        <v>0</v>
      </c>
      <c r="AJ25" s="179">
        <f t="shared" si="16"/>
        <v>0</v>
      </c>
      <c r="AK25" s="180">
        <f t="shared" si="21"/>
        <v>3002000</v>
      </c>
      <c r="AL25" s="181">
        <f>ROUND((X25*39000+Z25*39000+AB25*39000),-3)</f>
        <v>0</v>
      </c>
      <c r="AM25" s="181">
        <f>ROUND((AC25*52000+AA25*48600+Y25*52000),-3)</f>
        <v>0</v>
      </c>
      <c r="AN25" s="181">
        <f>ROUND((T25*39000+V25*39000),-3)</f>
        <v>0</v>
      </c>
      <c r="AO25" s="181">
        <f t="shared" si="4"/>
        <v>0</v>
      </c>
      <c r="AP25" s="192">
        <f>ROUND((IF(I25="A",0,IF(I25="B",-(1330000)*50%,IF(I25="C",-(1330000)*100%))))*(J25)/$A$5,-3)</f>
        <v>0</v>
      </c>
      <c r="AQ25" s="195"/>
      <c r="AR25" s="179">
        <f>E25*(J25+K25)/$A$5</f>
        <v>0</v>
      </c>
      <c r="AS25" s="179"/>
      <c r="AT25" s="179"/>
      <c r="AU25" s="179"/>
      <c r="AV25" s="184">
        <v>420000</v>
      </c>
      <c r="AW25" s="184">
        <f t="shared" si="18"/>
        <v>10672000</v>
      </c>
      <c r="AX25" s="178">
        <f>ROUND((D25-F25)*(J25)/$A$5,-3)</f>
        <v>1680000</v>
      </c>
      <c r="AY25" s="185">
        <f t="shared" si="20"/>
        <v>1680000</v>
      </c>
      <c r="AZ25" s="185">
        <f t="shared" si="11"/>
        <v>0</v>
      </c>
      <c r="BA25" s="186">
        <f t="shared" si="5"/>
        <v>50000</v>
      </c>
      <c r="BB25" s="187">
        <v>536000</v>
      </c>
      <c r="BC25" s="187">
        <v>92100</v>
      </c>
      <c r="BD25" s="187">
        <v>67000</v>
      </c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8">
        <f t="shared" si="7"/>
        <v>745100</v>
      </c>
      <c r="BR25" s="187"/>
      <c r="BS25" s="187"/>
      <c r="BT25" s="188">
        <f t="shared" si="8"/>
        <v>9926900</v>
      </c>
      <c r="BU25" s="187"/>
      <c r="BV25" s="187">
        <v>15</v>
      </c>
      <c r="BW25" s="187">
        <f t="shared" si="9"/>
        <v>495000</v>
      </c>
      <c r="BX25" s="188">
        <f t="shared" si="10"/>
        <v>10421900</v>
      </c>
    </row>
    <row r="26" spans="1:77" s="196" customFormat="1" ht="47.45" customHeight="1" x14ac:dyDescent="0.25">
      <c r="A26" s="167">
        <v>16</v>
      </c>
      <c r="B26" s="199" t="s">
        <v>55</v>
      </c>
      <c r="C26" s="167" t="s">
        <v>57</v>
      </c>
      <c r="D26" s="175">
        <v>8740000</v>
      </c>
      <c r="E26" s="175"/>
      <c r="F26" s="172">
        <v>6500000</v>
      </c>
      <c r="G26" s="173">
        <v>6140000</v>
      </c>
      <c r="H26" s="173"/>
      <c r="I26" s="174" t="str">
        <f>'[2]11. Xếp loại'!E23</f>
        <v>A</v>
      </c>
      <c r="J26" s="175">
        <f>'[2]3. Chấm công'!AR23</f>
        <v>15</v>
      </c>
      <c r="K26" s="175">
        <f>'[2]3. Chấm công'!AI23</f>
        <v>5</v>
      </c>
      <c r="L26" s="175">
        <f>'[2]3. Chấm công'!AL23</f>
        <v>0</v>
      </c>
      <c r="M26" s="175">
        <f>'[2]3. Chấm công'!AJ23</f>
        <v>0</v>
      </c>
      <c r="N26" s="175"/>
      <c r="O26" s="175">
        <f>'[2]3. Chấm công'!AK23</f>
        <v>0</v>
      </c>
      <c r="P26" s="194">
        <f>'[2]3. Chấm công'!AT23</f>
        <v>7.5</v>
      </c>
      <c r="Q26" s="176"/>
      <c r="R26" s="176"/>
      <c r="S26" s="176">
        <f>'[2]3. Chấm công'!AP23</f>
        <v>0</v>
      </c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74">
        <f>ROUND(F26*(J26)/$A$5,-3)</f>
        <v>4875000</v>
      </c>
      <c r="AE26" s="178">
        <f>ROUND(IF(I26="A",(D26-F26)*(J26)/$A$5,IF(I26="B",(D26-F26)*0.5*(J26)/$A$5*$B$5,IF(I26="C",0))),-3)</f>
        <v>1680000</v>
      </c>
      <c r="AF26" s="179">
        <f t="shared" si="14"/>
        <v>1535000</v>
      </c>
      <c r="AG26" s="179"/>
      <c r="AH26" s="179">
        <f t="shared" si="6"/>
        <v>0</v>
      </c>
      <c r="AI26" s="179">
        <f>ROUND(G26*(L26)/$A$5,-3)</f>
        <v>0</v>
      </c>
      <c r="AJ26" s="179">
        <f t="shared" si="16"/>
        <v>0</v>
      </c>
      <c r="AK26" s="180">
        <f t="shared" si="21"/>
        <v>2370000</v>
      </c>
      <c r="AL26" s="181">
        <f>ROUND((X26*39000+Z26*39000+AB26*39000),-3)</f>
        <v>0</v>
      </c>
      <c r="AM26" s="181">
        <f>ROUND((AC26*52000+AA26*48600+Y26*52000),-3)</f>
        <v>0</v>
      </c>
      <c r="AN26" s="181">
        <f>ROUND((T26*39000+V26*39000),-3)</f>
        <v>0</v>
      </c>
      <c r="AO26" s="181">
        <f t="shared" si="4"/>
        <v>0</v>
      </c>
      <c r="AP26" s="192">
        <f>ROUND((IF(I26="A",0,IF(I26="B",-(1330000)*50%,IF(I26="C",-(1330000)*100%))))*(J26)/$A$5,-3)</f>
        <v>0</v>
      </c>
      <c r="AQ26" s="197"/>
      <c r="AR26" s="179">
        <f>E26*(J26+K26)/$A$5</f>
        <v>0</v>
      </c>
      <c r="AS26" s="174"/>
      <c r="AT26" s="174"/>
      <c r="AU26" s="174"/>
      <c r="AV26" s="184">
        <v>420000</v>
      </c>
      <c r="AW26" s="184">
        <f t="shared" si="18"/>
        <v>10040000</v>
      </c>
      <c r="AX26" s="178">
        <f>ROUND((D26-F26)*(J26)/$A$5,-3)</f>
        <v>1680000</v>
      </c>
      <c r="AY26" s="185">
        <f t="shared" si="20"/>
        <v>1680000</v>
      </c>
      <c r="AZ26" s="185">
        <f t="shared" si="11"/>
        <v>0</v>
      </c>
      <c r="BA26" s="186">
        <f t="shared" si="5"/>
        <v>47000</v>
      </c>
      <c r="BB26" s="187">
        <v>536000</v>
      </c>
      <c r="BC26" s="187">
        <v>92100</v>
      </c>
      <c r="BD26" s="187">
        <v>67000</v>
      </c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8">
        <f t="shared" si="7"/>
        <v>742100</v>
      </c>
      <c r="BR26" s="187"/>
      <c r="BS26" s="187"/>
      <c r="BT26" s="188">
        <f t="shared" si="8"/>
        <v>9297900</v>
      </c>
      <c r="BU26" s="187"/>
      <c r="BV26" s="187">
        <v>15</v>
      </c>
      <c r="BW26" s="187">
        <f t="shared" si="9"/>
        <v>495000</v>
      </c>
      <c r="BX26" s="188">
        <f t="shared" si="10"/>
        <v>9792900</v>
      </c>
    </row>
    <row r="27" spans="1:77" s="196" customFormat="1" ht="47.45" customHeight="1" x14ac:dyDescent="0.25">
      <c r="A27" s="202">
        <v>17</v>
      </c>
      <c r="B27" s="203" t="s">
        <v>46</v>
      </c>
      <c r="C27" s="202" t="s">
        <v>24</v>
      </c>
      <c r="D27" s="204">
        <v>14700000</v>
      </c>
      <c r="E27" s="205"/>
      <c r="F27" s="206">
        <v>6500000</v>
      </c>
      <c r="G27" s="205">
        <v>7510000</v>
      </c>
      <c r="H27" s="205"/>
      <c r="I27" s="207" t="str">
        <f>'[2]11. Xếp loại'!E24</f>
        <v>A</v>
      </c>
      <c r="J27" s="208">
        <f>'[2]3. Chấm công'!AR24</f>
        <v>10</v>
      </c>
      <c r="K27" s="208">
        <f>'[2]3. Chấm công'!AI24</f>
        <v>10</v>
      </c>
      <c r="L27" s="208">
        <f>'[2]3. Chấm công'!AL24</f>
        <v>0</v>
      </c>
      <c r="M27" s="208">
        <f>'[2]3. Chấm công'!AJ24</f>
        <v>0</v>
      </c>
      <c r="N27" s="208"/>
      <c r="O27" s="208">
        <f>'[2]3. Chấm công'!AK24</f>
        <v>0</v>
      </c>
      <c r="P27" s="209">
        <f>'[2]3. Chấm công'!AT24</f>
        <v>0</v>
      </c>
      <c r="Q27" s="210"/>
      <c r="R27" s="210"/>
      <c r="S27" s="210">
        <f>'[2]3. Chấm công'!AP24</f>
        <v>0</v>
      </c>
      <c r="T27" s="211">
        <f>'[2]6. THKH tháng'!BE53</f>
        <v>0</v>
      </c>
      <c r="U27" s="211"/>
      <c r="V27" s="211">
        <f>'[2]6. THKH tháng'!BE54</f>
        <v>0</v>
      </c>
      <c r="W27" s="211"/>
      <c r="X27" s="211"/>
      <c r="Y27" s="211"/>
      <c r="Z27" s="211">
        <f>'[2]6. THKH tháng'!BG53</f>
        <v>0</v>
      </c>
      <c r="AA27" s="211"/>
      <c r="AB27" s="211">
        <f>'[2]6. THKH tháng'!BG54</f>
        <v>54</v>
      </c>
      <c r="AC27" s="211"/>
      <c r="AD27" s="207">
        <f>ROUND(F27*(J27)/$A$5*$B$5,-3)</f>
        <v>2763000</v>
      </c>
      <c r="AE27" s="212">
        <f>ROUND(IF(I27="A",(D27-F27-4500000)*(J27)/$A$5*$B$5,IF(I27="B",(D27-F27-4500000)*0.5*(J27)/$A$5*$B$5,IF(I27="C",0))),-3)</f>
        <v>1573000</v>
      </c>
      <c r="AF27" s="213">
        <f t="shared" si="14"/>
        <v>3755000</v>
      </c>
      <c r="AG27" s="213"/>
      <c r="AH27" s="213"/>
      <c r="AI27" s="213">
        <f>ROUND(G27*(L27)/$A$5,-3)</f>
        <v>0</v>
      </c>
      <c r="AJ27" s="213"/>
      <c r="AK27" s="214">
        <f t="shared" si="21"/>
        <v>0</v>
      </c>
      <c r="AL27" s="215">
        <f>ROUND((X27*43000+Z27*43000+AB27*43000),-3)</f>
        <v>2322000</v>
      </c>
      <c r="AM27" s="215">
        <f>ROUND((AC27*54000+AA27*54000+Y27*57000),-3)</f>
        <v>0</v>
      </c>
      <c r="AN27" s="215">
        <f>ROUND((T27*43000+V27*43000),-3)</f>
        <v>0</v>
      </c>
      <c r="AO27" s="215">
        <f t="shared" si="4"/>
        <v>0</v>
      </c>
      <c r="AP27" s="216">
        <f>ROUND((IF(I27="A",0,IF(I27="B",-(1330000)*50%,IF(I27="C",-(1330000)*100%))))*(J27)/$A$5,-3)</f>
        <v>0</v>
      </c>
      <c r="AQ27" s="217"/>
      <c r="AR27" s="213"/>
      <c r="AS27" s="213"/>
      <c r="AT27" s="213"/>
      <c r="AU27" s="213"/>
      <c r="AV27" s="218">
        <v>706000</v>
      </c>
      <c r="AW27" s="219">
        <f t="shared" si="18"/>
        <v>9707000</v>
      </c>
      <c r="AX27" s="212">
        <f>ROUND((D27-F27-4500000)*(J27)/$A$5*$B$5,-3)</f>
        <v>1573000</v>
      </c>
      <c r="AY27" s="220">
        <f t="shared" si="20"/>
        <v>1573000</v>
      </c>
      <c r="AZ27" s="220">
        <f>AX27-AY27</f>
        <v>0</v>
      </c>
      <c r="BA27" s="221">
        <f t="shared" si="5"/>
        <v>44000</v>
      </c>
      <c r="BB27" s="222">
        <v>655200</v>
      </c>
      <c r="BC27" s="222">
        <v>112650</v>
      </c>
      <c r="BD27" s="222">
        <v>81900</v>
      </c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3">
        <f t="shared" si="7"/>
        <v>893750</v>
      </c>
      <c r="BR27" s="222"/>
      <c r="BS27" s="222"/>
      <c r="BT27" s="223">
        <f t="shared" si="8"/>
        <v>8813250</v>
      </c>
      <c r="BU27" s="222"/>
      <c r="BV27" s="222">
        <v>10</v>
      </c>
      <c r="BW27" s="222">
        <f t="shared" si="9"/>
        <v>330000</v>
      </c>
      <c r="BX27" s="223">
        <f t="shared" si="10"/>
        <v>9143250</v>
      </c>
    </row>
    <row r="28" spans="1:77" s="166" customFormat="1" ht="47.45" customHeight="1" x14ac:dyDescent="0.25">
      <c r="A28" s="36"/>
      <c r="B28" s="36" t="s">
        <v>29</v>
      </c>
      <c r="C28" s="36"/>
      <c r="D28" s="4">
        <f>SUM(D11:D27)</f>
        <v>228950000</v>
      </c>
      <c r="E28" s="4">
        <f t="shared" ref="E28:AZ28" si="22">SUM(E11:E27)</f>
        <v>1470000</v>
      </c>
      <c r="F28" s="4">
        <f t="shared" si="22"/>
        <v>110500000</v>
      </c>
      <c r="G28" s="4">
        <f t="shared" si="22"/>
        <v>122310000</v>
      </c>
      <c r="H28" s="4">
        <f t="shared" si="22"/>
        <v>1470000</v>
      </c>
      <c r="I28" s="4">
        <f t="shared" si="22"/>
        <v>0</v>
      </c>
      <c r="J28" s="4">
        <f t="shared" si="22"/>
        <v>170</v>
      </c>
      <c r="K28" s="4">
        <f t="shared" si="22"/>
        <v>150</v>
      </c>
      <c r="L28" s="4">
        <f t="shared" si="22"/>
        <v>10</v>
      </c>
      <c r="M28" s="4">
        <f t="shared" si="22"/>
        <v>0</v>
      </c>
      <c r="N28" s="4">
        <f t="shared" si="22"/>
        <v>0</v>
      </c>
      <c r="O28" s="4">
        <f t="shared" si="22"/>
        <v>0</v>
      </c>
      <c r="P28" s="4">
        <f t="shared" si="22"/>
        <v>55.25</v>
      </c>
      <c r="Q28" s="4">
        <f t="shared" si="22"/>
        <v>0</v>
      </c>
      <c r="R28" s="4">
        <f t="shared" si="22"/>
        <v>0</v>
      </c>
      <c r="S28" s="4">
        <f t="shared" si="22"/>
        <v>0</v>
      </c>
      <c r="T28" s="4">
        <f t="shared" si="22"/>
        <v>130</v>
      </c>
      <c r="U28" s="4">
        <f t="shared" si="22"/>
        <v>0</v>
      </c>
      <c r="V28" s="4">
        <f t="shared" si="22"/>
        <v>130</v>
      </c>
      <c r="W28" s="4">
        <f t="shared" si="22"/>
        <v>0</v>
      </c>
      <c r="X28" s="4">
        <f t="shared" si="22"/>
        <v>0</v>
      </c>
      <c r="Y28" s="4">
        <f t="shared" si="22"/>
        <v>0</v>
      </c>
      <c r="Z28" s="4">
        <f t="shared" si="22"/>
        <v>20.900000000000006</v>
      </c>
      <c r="AA28" s="4">
        <f t="shared" si="22"/>
        <v>0</v>
      </c>
      <c r="AB28" s="4">
        <f t="shared" si="22"/>
        <v>204.23333333333335</v>
      </c>
      <c r="AC28" s="4">
        <f t="shared" si="22"/>
        <v>2.1833333333333371</v>
      </c>
      <c r="AD28" s="4">
        <f t="shared" si="22"/>
        <v>51518000</v>
      </c>
      <c r="AE28" s="4">
        <f t="shared" si="22"/>
        <v>31186000</v>
      </c>
      <c r="AF28" s="4">
        <f t="shared" si="22"/>
        <v>51508000</v>
      </c>
      <c r="AG28" s="4">
        <f t="shared" si="22"/>
        <v>0</v>
      </c>
      <c r="AH28" s="4">
        <f t="shared" si="22"/>
        <v>0</v>
      </c>
      <c r="AI28" s="4">
        <f t="shared" si="22"/>
        <v>3400000</v>
      </c>
      <c r="AJ28" s="4">
        <f t="shared" si="22"/>
        <v>0</v>
      </c>
      <c r="AK28" s="4">
        <f t="shared" si="22"/>
        <v>17459000</v>
      </c>
      <c r="AL28" s="4">
        <f t="shared" si="22"/>
        <v>9681000</v>
      </c>
      <c r="AM28" s="4">
        <f t="shared" si="22"/>
        <v>118000</v>
      </c>
      <c r="AN28" s="4">
        <f t="shared" si="22"/>
        <v>11180000</v>
      </c>
      <c r="AO28" s="4">
        <f t="shared" si="22"/>
        <v>0</v>
      </c>
      <c r="AP28" s="4">
        <f t="shared" si="22"/>
        <v>0</v>
      </c>
      <c r="AQ28" s="4">
        <f t="shared" si="22"/>
        <v>1470000</v>
      </c>
      <c r="AR28" s="4">
        <f t="shared" si="22"/>
        <v>0</v>
      </c>
      <c r="AS28" s="4">
        <f t="shared" si="22"/>
        <v>0</v>
      </c>
      <c r="AT28" s="4">
        <f t="shared" si="22"/>
        <v>0</v>
      </c>
      <c r="AU28" s="4">
        <f t="shared" si="22"/>
        <v>0</v>
      </c>
      <c r="AV28" s="4">
        <f>SUM(AV11:AV27)</f>
        <v>9317000</v>
      </c>
      <c r="AW28" s="4">
        <f t="shared" si="22"/>
        <v>168203000</v>
      </c>
      <c r="AX28" s="3">
        <f t="shared" si="22"/>
        <v>31186000</v>
      </c>
      <c r="AY28" s="3">
        <f t="shared" si="22"/>
        <v>31186000</v>
      </c>
      <c r="AZ28" s="3">
        <f t="shared" si="22"/>
        <v>0</v>
      </c>
      <c r="BA28" s="164">
        <f t="shared" ref="BA28:BX28" si="23">SUM(BA11:BA14)+SUM(BA15:BA27)</f>
        <v>777000</v>
      </c>
      <c r="BB28" s="164">
        <f t="shared" si="23"/>
        <v>10168800</v>
      </c>
      <c r="BC28" s="164">
        <f t="shared" si="23"/>
        <v>1749600</v>
      </c>
      <c r="BD28" s="164">
        <f t="shared" si="23"/>
        <v>1271100</v>
      </c>
      <c r="BE28" s="164">
        <f t="shared" si="23"/>
        <v>0</v>
      </c>
      <c r="BF28" s="164">
        <f t="shared" si="23"/>
        <v>0</v>
      </c>
      <c r="BG28" s="164">
        <f t="shared" si="23"/>
        <v>0</v>
      </c>
      <c r="BH28" s="164">
        <f t="shared" si="23"/>
        <v>0</v>
      </c>
      <c r="BI28" s="164">
        <f t="shared" si="23"/>
        <v>0</v>
      </c>
      <c r="BJ28" s="164">
        <f t="shared" si="23"/>
        <v>0</v>
      </c>
      <c r="BK28" s="164">
        <f t="shared" si="23"/>
        <v>0</v>
      </c>
      <c r="BL28" s="164">
        <f t="shared" si="23"/>
        <v>0</v>
      </c>
      <c r="BM28" s="164">
        <f t="shared" si="23"/>
        <v>2022000</v>
      </c>
      <c r="BN28" s="164">
        <f t="shared" si="23"/>
        <v>0</v>
      </c>
      <c r="BO28" s="164">
        <f t="shared" si="23"/>
        <v>0</v>
      </c>
      <c r="BP28" s="164">
        <f t="shared" si="23"/>
        <v>2400000</v>
      </c>
      <c r="BQ28" s="164">
        <f t="shared" si="23"/>
        <v>18388500</v>
      </c>
      <c r="BR28" s="164">
        <f t="shared" si="23"/>
        <v>0</v>
      </c>
      <c r="BS28" s="164">
        <f t="shared" si="23"/>
        <v>0</v>
      </c>
      <c r="BT28" s="164">
        <f t="shared" si="23"/>
        <v>149814500</v>
      </c>
      <c r="BU28" s="164">
        <f t="shared" si="23"/>
        <v>0</v>
      </c>
      <c r="BV28" s="164">
        <f t="shared" si="23"/>
        <v>180</v>
      </c>
      <c r="BW28" s="164">
        <f t="shared" si="23"/>
        <v>5940000</v>
      </c>
      <c r="BX28" s="164">
        <f t="shared" si="23"/>
        <v>155754500</v>
      </c>
    </row>
    <row r="29" spans="1:77" ht="6" customHeight="1" x14ac:dyDescent="0.25">
      <c r="A29" s="13"/>
      <c r="B29" s="13"/>
      <c r="C29" s="13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47"/>
      <c r="BM29" s="17"/>
      <c r="BN29" s="17"/>
      <c r="BO29" s="17"/>
      <c r="BP29" s="17"/>
      <c r="BQ29" s="17"/>
      <c r="BR29" s="17"/>
      <c r="BS29" s="17"/>
      <c r="BT29" s="147"/>
      <c r="BU29" s="17"/>
      <c r="BV29" s="17"/>
      <c r="BW29" s="17"/>
      <c r="BX29" s="17"/>
    </row>
    <row r="30" spans="1:77" x14ac:dyDescent="0.25"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4">
        <f>BT28+BQ28-BR28</f>
        <v>168203000</v>
      </c>
      <c r="BU30" s="153"/>
      <c r="BV30" s="153"/>
      <c r="BW30" s="153"/>
      <c r="BX30" s="154">
        <f>BX28-BW28-BT28</f>
        <v>0</v>
      </c>
    </row>
    <row r="41" spans="77:77" x14ac:dyDescent="0.25">
      <c r="BY41" s="58"/>
    </row>
    <row r="42" spans="77:77" x14ac:dyDescent="0.25">
      <c r="BY42" s="58"/>
    </row>
    <row r="43" spans="77:77" x14ac:dyDescent="0.25">
      <c r="BY43" s="58"/>
    </row>
    <row r="44" spans="77:77" x14ac:dyDescent="0.25">
      <c r="BY44" s="58"/>
    </row>
    <row r="45" spans="77:77" x14ac:dyDescent="0.25">
      <c r="BY45" s="58"/>
    </row>
    <row r="46" spans="77:77" x14ac:dyDescent="0.25">
      <c r="BY46" s="58"/>
    </row>
    <row r="47" spans="77:77" x14ac:dyDescent="0.25">
      <c r="BY47" s="58"/>
    </row>
    <row r="48" spans="77:77" x14ac:dyDescent="0.25">
      <c r="BY48" s="58"/>
    </row>
    <row r="49" spans="1:77" x14ac:dyDescent="0.25">
      <c r="BY49" s="58"/>
    </row>
    <row r="50" spans="1:77" s="58" customFormat="1" x14ac:dyDescent="0.25">
      <c r="A50" s="53"/>
      <c r="B50" s="47"/>
      <c r="C50" s="47"/>
      <c r="D50" s="47"/>
      <c r="E50" s="47"/>
      <c r="F50" s="47"/>
      <c r="G50" s="47"/>
      <c r="H50" s="47"/>
      <c r="I50" s="54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47"/>
      <c r="AE50" s="47"/>
      <c r="AF50" s="47"/>
      <c r="AG50" s="47"/>
      <c r="AH50" s="47"/>
      <c r="AI50" s="47"/>
      <c r="AJ50" s="47"/>
      <c r="AK50" s="56"/>
      <c r="AL50" s="47"/>
      <c r="AM50" s="47"/>
      <c r="AN50" s="47"/>
      <c r="AO50" s="47"/>
      <c r="AP50" s="47"/>
      <c r="AQ50" s="57"/>
      <c r="AR50" s="47"/>
      <c r="AW50" s="59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47"/>
    </row>
    <row r="51" spans="1:77" s="58" customFormat="1" x14ac:dyDescent="0.25">
      <c r="A51" s="53"/>
      <c r="B51" s="47"/>
      <c r="C51" s="47"/>
      <c r="D51" s="47"/>
      <c r="E51" s="47"/>
      <c r="F51" s="47"/>
      <c r="G51" s="47"/>
      <c r="H51" s="47"/>
      <c r="I51" s="54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47"/>
      <c r="AE51" s="47"/>
      <c r="AF51" s="47"/>
      <c r="AG51" s="47"/>
      <c r="AH51" s="47"/>
      <c r="AI51" s="47"/>
      <c r="AJ51" s="47"/>
      <c r="AK51" s="56"/>
      <c r="AL51" s="47"/>
      <c r="AM51" s="47"/>
      <c r="AN51" s="47"/>
      <c r="AO51" s="47"/>
      <c r="AP51" s="47"/>
      <c r="AQ51" s="57"/>
      <c r="AR51" s="47"/>
      <c r="AW51" s="59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47"/>
    </row>
    <row r="52" spans="1:77" s="58" customFormat="1" x14ac:dyDescent="0.25">
      <c r="A52" s="53"/>
      <c r="B52" s="47"/>
      <c r="C52" s="47"/>
      <c r="D52" s="47"/>
      <c r="E52" s="47"/>
      <c r="F52" s="47"/>
      <c r="G52" s="47"/>
      <c r="H52" s="47"/>
      <c r="I52" s="54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47"/>
      <c r="AE52" s="47"/>
      <c r="AF52" s="47"/>
      <c r="AG52" s="47"/>
      <c r="AH52" s="47"/>
      <c r="AI52" s="47"/>
      <c r="AJ52" s="47"/>
      <c r="AK52" s="56"/>
      <c r="AL52" s="47"/>
      <c r="AM52" s="47"/>
      <c r="AN52" s="47"/>
      <c r="AO52" s="47"/>
      <c r="AP52" s="47"/>
      <c r="AQ52" s="57"/>
      <c r="AR52" s="47"/>
      <c r="AW52" s="59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47"/>
    </row>
    <row r="53" spans="1:77" s="58" customFormat="1" x14ac:dyDescent="0.25">
      <c r="A53" s="53"/>
      <c r="B53" s="47"/>
      <c r="C53" s="47"/>
      <c r="D53" s="47"/>
      <c r="E53" s="47"/>
      <c r="F53" s="47"/>
      <c r="G53" s="47"/>
      <c r="H53" s="47"/>
      <c r="I53" s="54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47"/>
      <c r="AE53" s="47"/>
      <c r="AF53" s="47"/>
      <c r="AG53" s="47"/>
      <c r="AH53" s="47"/>
      <c r="AI53" s="47"/>
      <c r="AJ53" s="47"/>
      <c r="AK53" s="56"/>
      <c r="AL53" s="47"/>
      <c r="AM53" s="47"/>
      <c r="AN53" s="47"/>
      <c r="AO53" s="47"/>
      <c r="AP53" s="47"/>
      <c r="AQ53" s="57"/>
      <c r="AR53" s="47"/>
      <c r="AW53" s="59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47"/>
    </row>
    <row r="54" spans="1:77" s="58" customFormat="1" x14ac:dyDescent="0.25">
      <c r="A54" s="53"/>
      <c r="B54" s="47"/>
      <c r="C54" s="47"/>
      <c r="D54" s="47"/>
      <c r="E54" s="47"/>
      <c r="F54" s="47"/>
      <c r="G54" s="47"/>
      <c r="H54" s="47"/>
      <c r="I54" s="54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47"/>
      <c r="AE54" s="47"/>
      <c r="AF54" s="47"/>
      <c r="AG54" s="47"/>
      <c r="AH54" s="47"/>
      <c r="AI54" s="47"/>
      <c r="AJ54" s="47"/>
      <c r="AK54" s="56"/>
      <c r="AL54" s="47"/>
      <c r="AM54" s="47"/>
      <c r="AN54" s="47"/>
      <c r="AO54" s="47"/>
      <c r="AP54" s="47"/>
      <c r="AQ54" s="57"/>
      <c r="AR54" s="47"/>
      <c r="AW54" s="59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47"/>
    </row>
    <row r="55" spans="1:77" s="58" customFormat="1" x14ac:dyDescent="0.25">
      <c r="A55" s="53"/>
      <c r="B55" s="47"/>
      <c r="C55" s="47"/>
      <c r="D55" s="47"/>
      <c r="E55" s="47"/>
      <c r="F55" s="47"/>
      <c r="G55" s="47"/>
      <c r="H55" s="47"/>
      <c r="I55" s="54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47"/>
      <c r="AE55" s="47"/>
      <c r="AF55" s="47"/>
      <c r="AG55" s="47"/>
      <c r="AH55" s="47"/>
      <c r="AI55" s="47"/>
      <c r="AJ55" s="47"/>
      <c r="AK55" s="56"/>
      <c r="AL55" s="47"/>
      <c r="AM55" s="47"/>
      <c r="AN55" s="47"/>
      <c r="AO55" s="47"/>
      <c r="AP55" s="47"/>
      <c r="AQ55" s="57"/>
      <c r="AR55" s="47"/>
      <c r="AW55" s="59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47"/>
    </row>
    <row r="56" spans="1:77" s="58" customFormat="1" x14ac:dyDescent="0.25">
      <c r="A56" s="53"/>
      <c r="B56" s="47"/>
      <c r="C56" s="47"/>
      <c r="D56" s="47"/>
      <c r="E56" s="47"/>
      <c r="F56" s="47"/>
      <c r="G56" s="47"/>
      <c r="H56" s="47"/>
      <c r="I56" s="54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47"/>
      <c r="AE56" s="47"/>
      <c r="AF56" s="47"/>
      <c r="AG56" s="47"/>
      <c r="AH56" s="47"/>
      <c r="AI56" s="47"/>
      <c r="AJ56" s="47"/>
      <c r="AK56" s="56"/>
      <c r="AL56" s="47"/>
      <c r="AM56" s="47"/>
      <c r="AN56" s="47"/>
      <c r="AO56" s="47"/>
      <c r="AP56" s="47"/>
      <c r="AQ56" s="57"/>
      <c r="AR56" s="47"/>
      <c r="AW56" s="59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47"/>
    </row>
    <row r="57" spans="1:77" s="58" customFormat="1" x14ac:dyDescent="0.25">
      <c r="A57" s="53"/>
      <c r="B57" s="47"/>
      <c r="C57" s="47"/>
      <c r="D57" s="47"/>
      <c r="E57" s="47"/>
      <c r="F57" s="47"/>
      <c r="G57" s="47"/>
      <c r="H57" s="47"/>
      <c r="I57" s="54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47"/>
      <c r="AE57" s="47"/>
      <c r="AF57" s="47"/>
      <c r="AG57" s="47"/>
      <c r="AH57" s="47"/>
      <c r="AI57" s="47"/>
      <c r="AJ57" s="47"/>
      <c r="AK57" s="56"/>
      <c r="AL57" s="47"/>
      <c r="AM57" s="47"/>
      <c r="AN57" s="47"/>
      <c r="AO57" s="47"/>
      <c r="AP57" s="47"/>
      <c r="AQ57" s="57"/>
      <c r="AR57" s="47"/>
      <c r="AW57" s="59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47"/>
    </row>
    <row r="58" spans="1:77" s="58" customFormat="1" x14ac:dyDescent="0.25">
      <c r="A58" s="53"/>
      <c r="B58" s="47"/>
      <c r="C58" s="47"/>
      <c r="D58" s="47"/>
      <c r="E58" s="47"/>
      <c r="F58" s="47"/>
      <c r="G58" s="47"/>
      <c r="H58" s="47"/>
      <c r="I58" s="54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47"/>
      <c r="AE58" s="47"/>
      <c r="AF58" s="47"/>
      <c r="AG58" s="47"/>
      <c r="AH58" s="47"/>
      <c r="AI58" s="47"/>
      <c r="AJ58" s="47"/>
      <c r="AK58" s="56"/>
      <c r="AL58" s="47"/>
      <c r="AM58" s="47"/>
      <c r="AN58" s="47"/>
      <c r="AO58" s="47"/>
      <c r="AP58" s="47"/>
      <c r="AQ58" s="57"/>
      <c r="AR58" s="47"/>
      <c r="AW58" s="59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47"/>
    </row>
  </sheetData>
  <mergeCells count="81">
    <mergeCell ref="BL7:BL9"/>
    <mergeCell ref="BM7:BM9"/>
    <mergeCell ref="BN7:BN9"/>
    <mergeCell ref="BO7:BO9"/>
    <mergeCell ref="BP7:BP9"/>
    <mergeCell ref="BQ7:BQ9"/>
    <mergeCell ref="BV6:BV9"/>
    <mergeCell ref="BW6:BW9"/>
    <mergeCell ref="BX6:BX9"/>
    <mergeCell ref="BA7:BA9"/>
    <mergeCell ref="BB7:BB9"/>
    <mergeCell ref="BC7:BC9"/>
    <mergeCell ref="BD7:BD9"/>
    <mergeCell ref="BE7:BE9"/>
    <mergeCell ref="BF7:BF9"/>
    <mergeCell ref="BG7:BG9"/>
    <mergeCell ref="BA6:BQ6"/>
    <mergeCell ref="BR6:BR9"/>
    <mergeCell ref="BS6:BS9"/>
    <mergeCell ref="BT6:BT9"/>
    <mergeCell ref="BU6:BU9"/>
    <mergeCell ref="BH7:BH9"/>
    <mergeCell ref="BI7:BI9"/>
    <mergeCell ref="BJ7:BJ9"/>
    <mergeCell ref="BK7:BK9"/>
    <mergeCell ref="AU8:AU9"/>
    <mergeCell ref="AV8:AV9"/>
    <mergeCell ref="AQ7:AV7"/>
    <mergeCell ref="AX7:AX9"/>
    <mergeCell ref="AY7:AY9"/>
    <mergeCell ref="AZ7:AZ9"/>
    <mergeCell ref="AW6:AW9"/>
    <mergeCell ref="AX6:AZ6"/>
    <mergeCell ref="AD6:AV6"/>
    <mergeCell ref="J8:J9"/>
    <mergeCell ref="K8:K9"/>
    <mergeCell ref="L8:L9"/>
    <mergeCell ref="AE8:AE9"/>
    <mergeCell ref="N8:N9"/>
    <mergeCell ref="O8:O9"/>
    <mergeCell ref="P8:Q8"/>
    <mergeCell ref="R8:R9"/>
    <mergeCell ref="S8:S9"/>
    <mergeCell ref="T8:U8"/>
    <mergeCell ref="V8:W8"/>
    <mergeCell ref="X8:Y8"/>
    <mergeCell ref="Z8:AA8"/>
    <mergeCell ref="AB8:AC8"/>
    <mergeCell ref="AD8:AD9"/>
    <mergeCell ref="T7:W7"/>
    <mergeCell ref="X7:AC7"/>
    <mergeCell ref="AD7:AN7"/>
    <mergeCell ref="AP7:AP9"/>
    <mergeCell ref="AT8:AT9"/>
    <mergeCell ref="AF8:AF9"/>
    <mergeCell ref="AG8:AG9"/>
    <mergeCell ref="AH8:AH9"/>
    <mergeCell ref="AI8:AI9"/>
    <mergeCell ref="AJ8:AJ9"/>
    <mergeCell ref="AK8:AK9"/>
    <mergeCell ref="AL8:AM8"/>
    <mergeCell ref="AN8:AO8"/>
    <mergeCell ref="AQ8:AQ9"/>
    <mergeCell ref="AR8:AR9"/>
    <mergeCell ref="AS8:AS9"/>
    <mergeCell ref="A3:AC3"/>
    <mergeCell ref="A4:AC4"/>
    <mergeCell ref="A6:A9"/>
    <mergeCell ref="B6:B9"/>
    <mergeCell ref="C6:C9"/>
    <mergeCell ref="D6:D9"/>
    <mergeCell ref="E6:E9"/>
    <mergeCell ref="F6:F9"/>
    <mergeCell ref="G6:H7"/>
    <mergeCell ref="I6:I9"/>
    <mergeCell ref="M8:M9"/>
    <mergeCell ref="J6:Q7"/>
    <mergeCell ref="R6:S7"/>
    <mergeCell ref="T6:AC6"/>
    <mergeCell ref="G8:G9"/>
    <mergeCell ref="H8:H9"/>
  </mergeCells>
  <pageMargins left="0.23622047244094491" right="0.23622047244094491" top="0.74803149606299213" bottom="0.74803149606299213" header="0.31496062992125984" footer="0.31496062992125984"/>
  <pageSetup paperSize="8" scale="4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9F5D-47F1-4F1D-85F7-B3EDE9008C1A}">
  <sheetPr>
    <pageSetUpPr fitToPage="1"/>
  </sheetPr>
  <dimension ref="A1:BV48"/>
  <sheetViews>
    <sheetView workbookViewId="0">
      <pane xSplit="2" ySplit="9" topLeftCell="AQ22" activePane="bottomRight" state="frozen"/>
      <selection activeCell="BJ16" sqref="BJ16"/>
      <selection pane="topRight" activeCell="BJ16" sqref="BJ16"/>
      <selection pane="bottomLeft" activeCell="BJ16" sqref="BJ16"/>
      <selection pane="bottomRight" activeCell="BJ16" sqref="BJ16"/>
    </sheetView>
  </sheetViews>
  <sheetFormatPr defaultColWidth="5.7109375" defaultRowHeight="15.75" x14ac:dyDescent="0.25"/>
  <cols>
    <col min="1" max="1" width="5.28515625" style="53" customWidth="1"/>
    <col min="2" max="2" width="18.28515625" style="47" customWidth="1"/>
    <col min="3" max="3" width="11.28515625" style="47" customWidth="1"/>
    <col min="4" max="4" width="13.7109375" style="47" customWidth="1"/>
    <col min="5" max="5" width="10.7109375" style="47" customWidth="1"/>
    <col min="6" max="6" width="13.7109375" style="47" customWidth="1"/>
    <col min="7" max="7" width="12.85546875" style="47" customWidth="1"/>
    <col min="8" max="8" width="10.42578125" style="47" customWidth="1"/>
    <col min="9" max="9" width="6.7109375" style="54" customWidth="1"/>
    <col min="10" max="10" width="6.5703125" style="53" customWidth="1"/>
    <col min="11" max="11" width="8.28515625" style="53" hidden="1" customWidth="1"/>
    <col min="12" max="12" width="11.5703125" style="53" hidden="1" customWidth="1"/>
    <col min="13" max="13" width="9.85546875" style="53" hidden="1" customWidth="1"/>
    <col min="14" max="14" width="8.140625" style="53" hidden="1" customWidth="1"/>
    <col min="15" max="15" width="7.42578125" style="53" hidden="1" customWidth="1"/>
    <col min="16" max="16" width="8" style="53" customWidth="1"/>
    <col min="17" max="18" width="16" style="53" hidden="1" customWidth="1"/>
    <col min="19" max="19" width="9.28515625" style="53" customWidth="1"/>
    <col min="20" max="20" width="8.42578125" style="55" hidden="1" customWidth="1"/>
    <col min="21" max="21" width="10.7109375" style="55" hidden="1" customWidth="1"/>
    <col min="22" max="22" width="7.28515625" style="55" hidden="1" customWidth="1"/>
    <col min="23" max="23" width="10.7109375" style="55" hidden="1" customWidth="1"/>
    <col min="24" max="24" width="7.7109375" style="55" customWidth="1"/>
    <col min="25" max="25" width="10.7109375" style="55" hidden="1" customWidth="1"/>
    <col min="26" max="26" width="8.28515625" style="55" customWidth="1"/>
    <col min="27" max="27" width="12.5703125" style="55" hidden="1" customWidth="1"/>
    <col min="28" max="28" width="7.5703125" style="55" customWidth="1"/>
    <col min="29" max="29" width="6" style="55" customWidth="1"/>
    <col min="30" max="30" width="10.7109375" style="47" customWidth="1"/>
    <col min="31" max="31" width="12.28515625" style="47" customWidth="1"/>
    <col min="32" max="32" width="13" style="47" hidden="1" customWidth="1"/>
    <col min="33" max="34" width="16" style="47" hidden="1" customWidth="1"/>
    <col min="35" max="35" width="10.28515625" style="47" hidden="1" customWidth="1"/>
    <col min="36" max="36" width="15.5703125" style="47" hidden="1" customWidth="1"/>
    <col min="37" max="37" width="11.7109375" style="56" customWidth="1"/>
    <col min="38" max="38" width="11.7109375" style="47" customWidth="1"/>
    <col min="39" max="39" width="8.7109375" style="47" hidden="1" customWidth="1"/>
    <col min="40" max="40" width="11.5703125" style="47" hidden="1" customWidth="1"/>
    <col min="41" max="41" width="16" style="47" hidden="1" customWidth="1"/>
    <col min="42" max="42" width="15" style="47" hidden="1" customWidth="1"/>
    <col min="43" max="43" width="11.42578125" style="57" customWidth="1"/>
    <col min="44" max="44" width="16" style="47" hidden="1" customWidth="1"/>
    <col min="45" max="45" width="14.7109375" style="47" hidden="1" customWidth="1"/>
    <col min="46" max="46" width="10.140625" style="47" hidden="1" customWidth="1"/>
    <col min="47" max="47" width="16" style="47" hidden="1" customWidth="1"/>
    <col min="48" max="48" width="11.7109375" style="47" hidden="1" customWidth="1"/>
    <col min="49" max="49" width="13.28515625" style="53" customWidth="1"/>
    <col min="50" max="50" width="10.85546875" style="2" customWidth="1"/>
    <col min="51" max="51" width="10.5703125" style="2" customWidth="1"/>
    <col min="52" max="52" width="10" style="2" customWidth="1"/>
    <col min="53" max="53" width="10.28515625" style="2" customWidth="1"/>
    <col min="54" max="54" width="10" style="2" hidden="1" customWidth="1"/>
    <col min="55" max="55" width="12.28515625" style="2" hidden="1" customWidth="1"/>
    <col min="56" max="56" width="15" style="2" hidden="1" customWidth="1"/>
    <col min="57" max="57" width="10.85546875" style="2" hidden="1" customWidth="1"/>
    <col min="58" max="58" width="17.7109375" style="2" hidden="1" customWidth="1"/>
    <col min="59" max="59" width="11.7109375" style="2" hidden="1" customWidth="1"/>
    <col min="60" max="60" width="16.7109375" style="2" hidden="1" customWidth="1"/>
    <col min="61" max="61" width="10.85546875" style="2" hidden="1" customWidth="1"/>
    <col min="62" max="62" width="9.85546875" style="2" customWidth="1"/>
    <col min="63" max="63" width="14.28515625" style="2" hidden="1" customWidth="1"/>
    <col min="64" max="64" width="12.28515625" style="2" hidden="1" customWidth="1"/>
    <col min="65" max="66" width="10.85546875" style="2" customWidth="1"/>
    <col min="67" max="67" width="8.28515625" style="2" hidden="1" customWidth="1"/>
    <col min="68" max="68" width="10.42578125" style="2" customWidth="1"/>
    <col min="69" max="69" width="12.85546875" style="2" customWidth="1"/>
    <col min="70" max="70" width="10.7109375" style="2" customWidth="1"/>
    <col min="71" max="71" width="6.42578125" style="2" customWidth="1"/>
    <col min="72" max="72" width="11.140625" style="2" customWidth="1"/>
    <col min="73" max="73" width="14.140625" style="2" customWidth="1"/>
    <col min="74" max="16384" width="5.7109375" style="47"/>
  </cols>
  <sheetData>
    <row r="1" spans="1:74" x14ac:dyDescent="0.25">
      <c r="A1" s="5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40"/>
      <c r="U1" s="40"/>
      <c r="V1" s="40"/>
      <c r="W1" s="40"/>
      <c r="X1" s="40"/>
      <c r="Y1" s="40"/>
      <c r="Z1" s="40"/>
      <c r="AA1" s="40"/>
      <c r="AB1" s="40"/>
      <c r="AC1" s="40"/>
      <c r="AD1" s="5"/>
      <c r="AE1" s="5"/>
      <c r="AF1" s="5"/>
      <c r="AG1" s="5"/>
      <c r="AH1" s="5"/>
      <c r="AI1" s="5"/>
      <c r="AJ1" s="5"/>
      <c r="AK1" s="228"/>
      <c r="AL1" s="5"/>
      <c r="AM1" s="5"/>
      <c r="AN1" s="5"/>
      <c r="AO1" s="5"/>
      <c r="AP1" s="5"/>
      <c r="AQ1" s="11"/>
      <c r="AR1" s="1"/>
      <c r="AS1" s="1"/>
      <c r="AT1" s="1"/>
      <c r="AU1" s="1"/>
      <c r="AV1" s="5"/>
      <c r="AW1" s="1"/>
      <c r="BT1" s="30" t="s">
        <v>71</v>
      </c>
      <c r="BU1" s="31"/>
    </row>
    <row r="2" spans="1:74" x14ac:dyDescent="0.25">
      <c r="A2" s="12" t="s">
        <v>68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  <c r="R2" s="13"/>
      <c r="S2" s="13"/>
      <c r="T2" s="41"/>
      <c r="U2" s="41"/>
      <c r="V2" s="41"/>
      <c r="W2" s="41"/>
      <c r="X2" s="41"/>
      <c r="Y2" s="41"/>
      <c r="Z2" s="41"/>
      <c r="AA2" s="41"/>
      <c r="AB2" s="41"/>
      <c r="AC2" s="41"/>
      <c r="AD2" s="42"/>
      <c r="AE2" s="42"/>
      <c r="AF2" s="42"/>
      <c r="AG2" s="42"/>
      <c r="AH2" s="42"/>
      <c r="AI2" s="42"/>
      <c r="AJ2" s="42"/>
      <c r="AK2" s="229"/>
      <c r="AL2" s="42"/>
      <c r="AM2" s="42"/>
      <c r="AN2" s="42"/>
      <c r="AO2" s="42"/>
      <c r="AP2" s="42"/>
      <c r="AQ2" s="43"/>
      <c r="AR2" s="13"/>
      <c r="AS2" s="13"/>
      <c r="AT2" s="13"/>
      <c r="AU2" s="13"/>
      <c r="AV2" s="5"/>
      <c r="AW2" s="1"/>
      <c r="BT2" s="31"/>
      <c r="BU2" s="31"/>
    </row>
    <row r="3" spans="1:74" s="71" customFormat="1" ht="31.9" customHeight="1" x14ac:dyDescent="0.3">
      <c r="A3" s="411" t="s">
        <v>130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0"/>
      <c r="AY3" s="60"/>
      <c r="AZ3" s="60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8"/>
      <c r="BT3" s="38"/>
      <c r="BU3" s="38"/>
    </row>
    <row r="4" spans="1:74" ht="17.850000000000001" customHeight="1" x14ac:dyDescent="0.25">
      <c r="A4" s="384" t="s">
        <v>69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31"/>
      <c r="BT4" s="30"/>
      <c r="BU4" s="31"/>
    </row>
    <row r="5" spans="1:74" ht="16.899999999999999" customHeight="1" x14ac:dyDescent="0.25">
      <c r="A5" s="231">
        <v>22</v>
      </c>
      <c r="B5" s="232">
        <v>0.85</v>
      </c>
      <c r="C5" s="33">
        <v>1</v>
      </c>
      <c r="D5" s="7"/>
      <c r="E5" s="7"/>
      <c r="F5" s="7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8"/>
      <c r="U5" s="8"/>
      <c r="V5" s="8"/>
      <c r="W5" s="8"/>
      <c r="X5" s="8"/>
      <c r="Y5" s="8"/>
      <c r="Z5" s="8"/>
      <c r="AA5" s="8"/>
      <c r="AB5" s="8"/>
      <c r="AC5" s="8"/>
      <c r="AD5" s="9"/>
      <c r="AE5" s="9"/>
      <c r="AF5" s="9"/>
      <c r="AG5" s="34">
        <v>0.6</v>
      </c>
      <c r="AH5" s="9"/>
      <c r="AI5" s="9"/>
      <c r="AJ5" s="9"/>
      <c r="AK5" s="10"/>
      <c r="AL5" s="9"/>
      <c r="AM5" s="5"/>
      <c r="AN5" s="5"/>
      <c r="AO5" s="5"/>
      <c r="AP5" s="5"/>
      <c r="AQ5" s="11"/>
      <c r="AR5" s="5"/>
      <c r="AS5" s="5"/>
      <c r="AT5" s="5"/>
      <c r="AU5" s="5"/>
      <c r="AV5" s="5"/>
      <c r="AW5" s="1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227" t="s">
        <v>127</v>
      </c>
      <c r="BO5" s="5"/>
      <c r="BP5" s="5"/>
      <c r="BQ5" s="5"/>
      <c r="BR5" s="5"/>
      <c r="BS5" s="32"/>
      <c r="BT5" s="32">
        <v>33000</v>
      </c>
      <c r="BU5" s="32"/>
    </row>
    <row r="6" spans="1:74" ht="28.9" customHeight="1" x14ac:dyDescent="0.25">
      <c r="A6" s="469" t="s">
        <v>0</v>
      </c>
      <c r="B6" s="469" t="s">
        <v>1</v>
      </c>
      <c r="C6" s="469" t="s">
        <v>2</v>
      </c>
      <c r="D6" s="469" t="s">
        <v>3</v>
      </c>
      <c r="E6" s="469" t="s">
        <v>4</v>
      </c>
      <c r="F6" s="469" t="s">
        <v>73</v>
      </c>
      <c r="G6" s="472" t="s">
        <v>113</v>
      </c>
      <c r="H6" s="473"/>
      <c r="I6" s="469" t="s">
        <v>5</v>
      </c>
      <c r="J6" s="472" t="s">
        <v>6</v>
      </c>
      <c r="K6" s="487"/>
      <c r="L6" s="487"/>
      <c r="M6" s="487"/>
      <c r="N6" s="487"/>
      <c r="O6" s="487"/>
      <c r="P6" s="487"/>
      <c r="Q6" s="473"/>
      <c r="R6" s="489" t="s">
        <v>7</v>
      </c>
      <c r="S6" s="490"/>
      <c r="T6" s="493" t="s">
        <v>131</v>
      </c>
      <c r="U6" s="494"/>
      <c r="V6" s="494"/>
      <c r="W6" s="494"/>
      <c r="X6" s="494"/>
      <c r="Y6" s="494"/>
      <c r="Z6" s="494"/>
      <c r="AA6" s="494"/>
      <c r="AB6" s="494"/>
      <c r="AC6" s="495"/>
      <c r="AD6" s="496" t="s">
        <v>99</v>
      </c>
      <c r="AE6" s="497"/>
      <c r="AF6" s="497"/>
      <c r="AG6" s="497"/>
      <c r="AH6" s="497"/>
      <c r="AI6" s="497"/>
      <c r="AJ6" s="497"/>
      <c r="AK6" s="497"/>
      <c r="AL6" s="497"/>
      <c r="AM6" s="497"/>
      <c r="AN6" s="497"/>
      <c r="AO6" s="497"/>
      <c r="AP6" s="497"/>
      <c r="AQ6" s="497"/>
      <c r="AR6" s="497"/>
      <c r="AS6" s="497"/>
      <c r="AT6" s="497"/>
      <c r="AU6" s="497"/>
      <c r="AV6" s="498"/>
      <c r="AW6" s="499" t="s">
        <v>132</v>
      </c>
      <c r="AX6" s="461" t="s">
        <v>30</v>
      </c>
      <c r="AY6" s="461"/>
      <c r="AZ6" s="461"/>
      <c r="BA6" s="461"/>
      <c r="BB6" s="461"/>
      <c r="BC6" s="461"/>
      <c r="BD6" s="461"/>
      <c r="BE6" s="461"/>
      <c r="BF6" s="461"/>
      <c r="BG6" s="461"/>
      <c r="BH6" s="461"/>
      <c r="BI6" s="461"/>
      <c r="BJ6" s="461"/>
      <c r="BK6" s="461"/>
      <c r="BL6" s="461"/>
      <c r="BM6" s="461"/>
      <c r="BN6" s="461"/>
      <c r="BO6" s="458" t="s">
        <v>98</v>
      </c>
      <c r="BP6" s="458" t="s">
        <v>98</v>
      </c>
      <c r="BQ6" s="455" t="s">
        <v>32</v>
      </c>
      <c r="BR6" s="458" t="s">
        <v>51</v>
      </c>
      <c r="BS6" s="455" t="s">
        <v>33</v>
      </c>
      <c r="BT6" s="458" t="s">
        <v>34</v>
      </c>
      <c r="BU6" s="455" t="s">
        <v>35</v>
      </c>
    </row>
    <row r="7" spans="1:74" ht="22.35" customHeight="1" x14ac:dyDescent="0.25">
      <c r="A7" s="470"/>
      <c r="B7" s="470"/>
      <c r="C7" s="470"/>
      <c r="D7" s="470"/>
      <c r="E7" s="470"/>
      <c r="F7" s="470"/>
      <c r="G7" s="474"/>
      <c r="H7" s="475"/>
      <c r="I7" s="470"/>
      <c r="J7" s="474"/>
      <c r="K7" s="488"/>
      <c r="L7" s="488"/>
      <c r="M7" s="488"/>
      <c r="N7" s="488"/>
      <c r="O7" s="488"/>
      <c r="P7" s="488"/>
      <c r="Q7" s="475"/>
      <c r="R7" s="491"/>
      <c r="S7" s="492"/>
      <c r="T7" s="462" t="s">
        <v>115</v>
      </c>
      <c r="U7" s="463"/>
      <c r="V7" s="463"/>
      <c r="W7" s="464"/>
      <c r="X7" s="462" t="s">
        <v>133</v>
      </c>
      <c r="Y7" s="463"/>
      <c r="Z7" s="463"/>
      <c r="AA7" s="463"/>
      <c r="AB7" s="463"/>
      <c r="AC7" s="464"/>
      <c r="AD7" s="465" t="s">
        <v>75</v>
      </c>
      <c r="AE7" s="466"/>
      <c r="AF7" s="466"/>
      <c r="AG7" s="466"/>
      <c r="AH7" s="466"/>
      <c r="AI7" s="466"/>
      <c r="AJ7" s="466"/>
      <c r="AK7" s="466"/>
      <c r="AL7" s="466"/>
      <c r="AM7" s="466"/>
      <c r="AN7" s="467"/>
      <c r="AO7" s="233"/>
      <c r="AP7" s="468" t="s">
        <v>94</v>
      </c>
      <c r="AQ7" s="482" t="s">
        <v>85</v>
      </c>
      <c r="AR7" s="483"/>
      <c r="AS7" s="483"/>
      <c r="AT7" s="483"/>
      <c r="AU7" s="483"/>
      <c r="AV7" s="484"/>
      <c r="AW7" s="500"/>
      <c r="AX7" s="450" t="s">
        <v>97</v>
      </c>
      <c r="AY7" s="450" t="s">
        <v>36</v>
      </c>
      <c r="AZ7" s="450" t="s">
        <v>37</v>
      </c>
      <c r="BA7" s="450" t="s">
        <v>38</v>
      </c>
      <c r="BB7" s="450" t="s">
        <v>66</v>
      </c>
      <c r="BC7" s="450" t="s">
        <v>67</v>
      </c>
      <c r="BD7" s="450" t="s">
        <v>63</v>
      </c>
      <c r="BE7" s="450" t="s">
        <v>39</v>
      </c>
      <c r="BF7" s="450" t="s">
        <v>61</v>
      </c>
      <c r="BG7" s="450" t="s">
        <v>40</v>
      </c>
      <c r="BH7" s="450" t="s">
        <v>41</v>
      </c>
      <c r="BI7" s="450" t="s">
        <v>90</v>
      </c>
      <c r="BJ7" s="450" t="s">
        <v>42</v>
      </c>
      <c r="BK7" s="450" t="s">
        <v>43</v>
      </c>
      <c r="BL7" s="450" t="s">
        <v>110</v>
      </c>
      <c r="BM7" s="450" t="s">
        <v>149</v>
      </c>
      <c r="BN7" s="450" t="s">
        <v>44</v>
      </c>
      <c r="BO7" s="459"/>
      <c r="BP7" s="459"/>
      <c r="BQ7" s="456"/>
      <c r="BR7" s="459"/>
      <c r="BS7" s="456"/>
      <c r="BT7" s="459"/>
      <c r="BU7" s="456"/>
    </row>
    <row r="8" spans="1:74" ht="39.6" customHeight="1" x14ac:dyDescent="0.25">
      <c r="A8" s="470"/>
      <c r="B8" s="470"/>
      <c r="C8" s="470"/>
      <c r="D8" s="470"/>
      <c r="E8" s="470"/>
      <c r="F8" s="470"/>
      <c r="G8" s="469" t="s">
        <v>18</v>
      </c>
      <c r="H8" s="469" t="s">
        <v>19</v>
      </c>
      <c r="I8" s="470"/>
      <c r="J8" s="469" t="s">
        <v>14</v>
      </c>
      <c r="K8" s="469" t="s">
        <v>76</v>
      </c>
      <c r="L8" s="485" t="s">
        <v>95</v>
      </c>
      <c r="M8" s="478" t="s">
        <v>91</v>
      </c>
      <c r="N8" s="469" t="s">
        <v>77</v>
      </c>
      <c r="O8" s="478" t="s">
        <v>86</v>
      </c>
      <c r="P8" s="480" t="s">
        <v>87</v>
      </c>
      <c r="Q8" s="481"/>
      <c r="R8" s="469" t="s">
        <v>17</v>
      </c>
      <c r="S8" s="478" t="s">
        <v>84</v>
      </c>
      <c r="T8" s="462" t="s">
        <v>49</v>
      </c>
      <c r="U8" s="464"/>
      <c r="V8" s="462" t="s">
        <v>50</v>
      </c>
      <c r="W8" s="464"/>
      <c r="X8" s="462" t="s">
        <v>64</v>
      </c>
      <c r="Y8" s="464"/>
      <c r="Z8" s="462" t="s">
        <v>49</v>
      </c>
      <c r="AA8" s="464"/>
      <c r="AB8" s="462" t="s">
        <v>50</v>
      </c>
      <c r="AC8" s="464"/>
      <c r="AD8" s="469" t="s">
        <v>8</v>
      </c>
      <c r="AE8" s="476" t="s">
        <v>52</v>
      </c>
      <c r="AF8" s="504" t="s">
        <v>9</v>
      </c>
      <c r="AG8" s="504" t="s">
        <v>92</v>
      </c>
      <c r="AH8" s="504" t="s">
        <v>93</v>
      </c>
      <c r="AI8" s="506" t="s">
        <v>78</v>
      </c>
      <c r="AJ8" s="504" t="s">
        <v>79</v>
      </c>
      <c r="AK8" s="508" t="s">
        <v>65</v>
      </c>
      <c r="AL8" s="462" t="s">
        <v>116</v>
      </c>
      <c r="AM8" s="464"/>
      <c r="AN8" s="496" t="s">
        <v>117</v>
      </c>
      <c r="AO8" s="498"/>
      <c r="AP8" s="468"/>
      <c r="AQ8" s="502" t="s">
        <v>80</v>
      </c>
      <c r="AR8" s="502" t="s">
        <v>81</v>
      </c>
      <c r="AS8" s="502" t="s">
        <v>118</v>
      </c>
      <c r="AT8" s="502" t="s">
        <v>119</v>
      </c>
      <c r="AU8" s="502" t="s">
        <v>82</v>
      </c>
      <c r="AV8" s="510"/>
      <c r="AW8" s="500"/>
      <c r="AX8" s="451"/>
      <c r="AY8" s="451"/>
      <c r="AZ8" s="451"/>
      <c r="BA8" s="451"/>
      <c r="BB8" s="451"/>
      <c r="BC8" s="451"/>
      <c r="BD8" s="451"/>
      <c r="BE8" s="451"/>
      <c r="BF8" s="451"/>
      <c r="BG8" s="451"/>
      <c r="BH8" s="451"/>
      <c r="BI8" s="451"/>
      <c r="BJ8" s="451"/>
      <c r="BK8" s="451"/>
      <c r="BL8" s="451"/>
      <c r="BM8" s="451"/>
      <c r="BN8" s="451"/>
      <c r="BO8" s="459"/>
      <c r="BP8" s="459"/>
      <c r="BQ8" s="456"/>
      <c r="BR8" s="459"/>
      <c r="BS8" s="456"/>
      <c r="BT8" s="459"/>
      <c r="BU8" s="456"/>
    </row>
    <row r="9" spans="1:74" ht="30.6" customHeight="1" x14ac:dyDescent="0.25">
      <c r="A9" s="471"/>
      <c r="B9" s="471" t="s">
        <v>13</v>
      </c>
      <c r="C9" s="471" t="s">
        <v>13</v>
      </c>
      <c r="D9" s="471"/>
      <c r="E9" s="471"/>
      <c r="F9" s="471"/>
      <c r="G9" s="471"/>
      <c r="H9" s="471"/>
      <c r="I9" s="471"/>
      <c r="J9" s="471"/>
      <c r="K9" s="471"/>
      <c r="L9" s="486"/>
      <c r="M9" s="479"/>
      <c r="N9" s="471"/>
      <c r="O9" s="479"/>
      <c r="P9" s="234" t="s">
        <v>120</v>
      </c>
      <c r="Q9" s="235" t="s">
        <v>96</v>
      </c>
      <c r="R9" s="471"/>
      <c r="S9" s="479"/>
      <c r="T9" s="236" t="s">
        <v>15</v>
      </c>
      <c r="U9" s="236" t="s">
        <v>16</v>
      </c>
      <c r="V9" s="236" t="s">
        <v>15</v>
      </c>
      <c r="W9" s="236" t="s">
        <v>16</v>
      </c>
      <c r="X9" s="236" t="s">
        <v>15</v>
      </c>
      <c r="Y9" s="236" t="s">
        <v>16</v>
      </c>
      <c r="Z9" s="236" t="s">
        <v>15</v>
      </c>
      <c r="AA9" s="236" t="s">
        <v>16</v>
      </c>
      <c r="AB9" s="236" t="s">
        <v>15</v>
      </c>
      <c r="AC9" s="236" t="s">
        <v>16</v>
      </c>
      <c r="AD9" s="471"/>
      <c r="AE9" s="477"/>
      <c r="AF9" s="505"/>
      <c r="AG9" s="505"/>
      <c r="AH9" s="505"/>
      <c r="AI9" s="507"/>
      <c r="AJ9" s="505"/>
      <c r="AK9" s="509"/>
      <c r="AL9" s="237" t="s">
        <v>15</v>
      </c>
      <c r="AM9" s="237" t="s">
        <v>16</v>
      </c>
      <c r="AN9" s="237" t="s">
        <v>15</v>
      </c>
      <c r="AO9" s="237" t="s">
        <v>16</v>
      </c>
      <c r="AP9" s="468"/>
      <c r="AQ9" s="503"/>
      <c r="AR9" s="503"/>
      <c r="AS9" s="503"/>
      <c r="AT9" s="503"/>
      <c r="AU9" s="503"/>
      <c r="AV9" s="511"/>
      <c r="AW9" s="501"/>
      <c r="AX9" s="452"/>
      <c r="AY9" s="452"/>
      <c r="AZ9" s="452"/>
      <c r="BA9" s="452"/>
      <c r="BB9" s="452"/>
      <c r="BC9" s="452"/>
      <c r="BD9" s="452"/>
      <c r="BE9" s="452"/>
      <c r="BF9" s="452"/>
      <c r="BG9" s="452"/>
      <c r="BH9" s="452"/>
      <c r="BI9" s="452"/>
      <c r="BJ9" s="452"/>
      <c r="BK9" s="452"/>
      <c r="BL9" s="452"/>
      <c r="BM9" s="452"/>
      <c r="BN9" s="452"/>
      <c r="BO9" s="460"/>
      <c r="BP9" s="460"/>
      <c r="BQ9" s="457"/>
      <c r="BR9" s="460"/>
      <c r="BS9" s="457"/>
      <c r="BT9" s="460"/>
      <c r="BU9" s="457"/>
    </row>
    <row r="10" spans="1:74" s="295" customFormat="1" ht="18.600000000000001" customHeight="1" x14ac:dyDescent="0.25">
      <c r="A10" s="62" t="s">
        <v>100</v>
      </c>
      <c r="B10" s="62" t="s">
        <v>101</v>
      </c>
      <c r="C10" s="62" t="s">
        <v>102</v>
      </c>
      <c r="D10" s="62">
        <v>-1</v>
      </c>
      <c r="E10" s="290">
        <v>-2</v>
      </c>
      <c r="F10" s="291" t="s">
        <v>106</v>
      </c>
      <c r="G10" s="290">
        <v>-4</v>
      </c>
      <c r="H10" s="62">
        <v>-5</v>
      </c>
      <c r="I10" s="62">
        <v>-6</v>
      </c>
      <c r="J10" s="62">
        <v>-7</v>
      </c>
      <c r="K10" s="62">
        <v>-8</v>
      </c>
      <c r="L10" s="62">
        <v>-9</v>
      </c>
      <c r="M10" s="62">
        <v>-7</v>
      </c>
      <c r="N10" s="62">
        <v>-10</v>
      </c>
      <c r="O10" s="62"/>
      <c r="P10" s="62">
        <v>-8</v>
      </c>
      <c r="Q10" s="62"/>
      <c r="R10" s="62"/>
      <c r="S10" s="62">
        <v>-9</v>
      </c>
      <c r="T10" s="62">
        <v>-11</v>
      </c>
      <c r="U10" s="62">
        <v>-10</v>
      </c>
      <c r="V10" s="62">
        <v>-12</v>
      </c>
      <c r="W10" s="62">
        <v>-10</v>
      </c>
      <c r="X10" s="62">
        <v>-10</v>
      </c>
      <c r="Y10" s="62">
        <v>-11</v>
      </c>
      <c r="Z10" s="62">
        <v>-11</v>
      </c>
      <c r="AA10" s="62">
        <v>-10</v>
      </c>
      <c r="AB10" s="62">
        <v>-12</v>
      </c>
      <c r="AC10" s="62">
        <v>-15</v>
      </c>
      <c r="AD10" s="62">
        <v>-13</v>
      </c>
      <c r="AE10" s="62">
        <v>-14</v>
      </c>
      <c r="AF10" s="62">
        <v>-16</v>
      </c>
      <c r="AG10" s="62">
        <v>-17</v>
      </c>
      <c r="AH10" s="62">
        <v>-18</v>
      </c>
      <c r="AI10" s="62">
        <v>-10</v>
      </c>
      <c r="AJ10" s="62">
        <v>-10</v>
      </c>
      <c r="AK10" s="62">
        <v>-15</v>
      </c>
      <c r="AL10" s="62">
        <v>-16</v>
      </c>
      <c r="AM10" s="62">
        <v>-20</v>
      </c>
      <c r="AN10" s="62">
        <v>-21</v>
      </c>
      <c r="AO10" s="62">
        <v>-22</v>
      </c>
      <c r="AP10" s="62">
        <v>-23</v>
      </c>
      <c r="AQ10" s="62">
        <v>-17</v>
      </c>
      <c r="AR10" s="62">
        <v>-24</v>
      </c>
      <c r="AS10" s="62">
        <v>-24</v>
      </c>
      <c r="AT10" s="62">
        <v>-27</v>
      </c>
      <c r="AU10" s="62">
        <v>-10</v>
      </c>
      <c r="AV10" s="62">
        <v>-25</v>
      </c>
      <c r="AW10" s="62" t="s">
        <v>134</v>
      </c>
      <c r="AX10" s="292">
        <v>-19</v>
      </c>
      <c r="AY10" s="292">
        <v>-20</v>
      </c>
      <c r="AZ10" s="292">
        <v>-21</v>
      </c>
      <c r="BA10" s="292">
        <v>-22</v>
      </c>
      <c r="BB10" s="292"/>
      <c r="BC10" s="292"/>
      <c r="BD10" s="292"/>
      <c r="BE10" s="292"/>
      <c r="BF10" s="292"/>
      <c r="BG10" s="292"/>
      <c r="BH10" s="292"/>
      <c r="BI10" s="292"/>
      <c r="BJ10" s="292">
        <v>-23</v>
      </c>
      <c r="BK10" s="292"/>
      <c r="BL10" s="292">
        <v>-26</v>
      </c>
      <c r="BM10" s="292">
        <v>-24</v>
      </c>
      <c r="BN10" s="293" t="s">
        <v>150</v>
      </c>
      <c r="BO10" s="294">
        <v>28</v>
      </c>
      <c r="BP10" s="292">
        <v>-26</v>
      </c>
      <c r="BQ10" s="292">
        <v>-27</v>
      </c>
      <c r="BR10" s="292">
        <v>-28</v>
      </c>
      <c r="BS10" s="292">
        <v>-29</v>
      </c>
      <c r="BT10" s="292">
        <v>-30</v>
      </c>
      <c r="BU10" s="62" t="s">
        <v>151</v>
      </c>
    </row>
    <row r="11" spans="1:74" s="48" customFormat="1" ht="33.75" customHeight="1" x14ac:dyDescent="0.25">
      <c r="A11" s="35">
        <v>1</v>
      </c>
      <c r="B11" s="63" t="s">
        <v>20</v>
      </c>
      <c r="C11" s="286" t="s">
        <v>47</v>
      </c>
      <c r="D11" s="238">
        <v>16740000</v>
      </c>
      <c r="E11" s="251"/>
      <c r="F11" s="240">
        <v>6500000</v>
      </c>
      <c r="G11" s="239">
        <v>9930000</v>
      </c>
      <c r="H11" s="239"/>
      <c r="I11" s="241" t="s">
        <v>21</v>
      </c>
      <c r="J11" s="242">
        <v>22</v>
      </c>
      <c r="K11" s="242">
        <v>0</v>
      </c>
      <c r="L11" s="242">
        <v>0</v>
      </c>
      <c r="M11" s="242">
        <v>0</v>
      </c>
      <c r="N11" s="242"/>
      <c r="O11" s="242">
        <v>0</v>
      </c>
      <c r="P11" s="244">
        <v>0</v>
      </c>
      <c r="Q11" s="244"/>
      <c r="R11" s="244"/>
      <c r="S11" s="244">
        <v>0</v>
      </c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1">
        <f>ROUND(F11*(J11+K11+M11)/$A$5,-3)</f>
        <v>6500000</v>
      </c>
      <c r="AE11" s="246">
        <f>ROUND(IF(I11="A",(D11-F11)*(J11+K11+M11)/$A$5,IF(I11="B",(D11-F11)*0.5*(J11+K11+M11)/$A$5,IF(I11="C",0))),-3)</f>
        <v>10240000</v>
      </c>
      <c r="AF11" s="247"/>
      <c r="AG11" s="247"/>
      <c r="AH11" s="247"/>
      <c r="AI11" s="247">
        <f>ROUND(G11*(L11)/$A$5,-3)</f>
        <v>0</v>
      </c>
      <c r="AJ11" s="247">
        <f>ROUND(G11*N11/$A$5*85%,-3)</f>
        <v>0</v>
      </c>
      <c r="AK11" s="248">
        <f t="shared" ref="AK11:AK16" si="0">ROUND(P11*316000,-3)</f>
        <v>0</v>
      </c>
      <c r="AL11" s="249">
        <f t="shared" ref="AL11:AL22" si="1">ROUND((X11*43000+Z11*43000+AB11*43000),-3)</f>
        <v>0</v>
      </c>
      <c r="AM11" s="249">
        <f t="shared" ref="AM11:AM22" si="2">ROUND((AC11*54000+AA11*54000+Y11*57000),-3)</f>
        <v>0</v>
      </c>
      <c r="AN11" s="249">
        <f t="shared" ref="AN11:AN22" si="3">ROUND((T11*43000+V11*43000),-3)</f>
        <v>0</v>
      </c>
      <c r="AO11" s="249">
        <f t="shared" ref="AO11:AO26" si="4">ROUND((U11*48600+W11*52000),-3)</f>
        <v>0</v>
      </c>
      <c r="AP11" s="249"/>
      <c r="AQ11" s="287"/>
      <c r="AR11" s="251"/>
      <c r="AS11" s="251"/>
      <c r="AT11" s="251"/>
      <c r="AU11" s="251"/>
      <c r="AV11" s="252"/>
      <c r="AW11" s="253">
        <f>ROUND(SUM(AD11:AU11)-AV11,-3)</f>
        <v>16740000</v>
      </c>
      <c r="AX11" s="186">
        <f>ROUND(IF((AW11-AY11-AZ11-BA11)*0.5%&lt;234000,(AW11-AY11-AZ11-BA11)*0.5%,234000),-3)</f>
        <v>78000</v>
      </c>
      <c r="AY11" s="288">
        <v>794400</v>
      </c>
      <c r="AZ11" s="288">
        <v>162450</v>
      </c>
      <c r="BA11" s="288">
        <v>99300</v>
      </c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8">
        <f>SUM(AX11:BM11)</f>
        <v>1134150</v>
      </c>
      <c r="BO11" s="187"/>
      <c r="BP11" s="187"/>
      <c r="BQ11" s="188">
        <f>(AW11-BN11+BO11+BP11)</f>
        <v>15605850</v>
      </c>
      <c r="BR11" s="187">
        <v>100000</v>
      </c>
      <c r="BS11" s="187">
        <v>22</v>
      </c>
      <c r="BT11" s="187">
        <f>BS11*$BT$5</f>
        <v>726000</v>
      </c>
      <c r="BU11" s="188">
        <f>BQ11+BT11+BR11</f>
        <v>16431850</v>
      </c>
      <c r="BV11" s="189"/>
    </row>
    <row r="12" spans="1:74" s="49" customFormat="1" ht="33.75" customHeight="1" x14ac:dyDescent="0.25">
      <c r="A12" s="35">
        <v>2</v>
      </c>
      <c r="B12" s="63" t="s">
        <v>23</v>
      </c>
      <c r="C12" s="75" t="s">
        <v>88</v>
      </c>
      <c r="D12" s="238">
        <v>14700000</v>
      </c>
      <c r="E12" s="239">
        <v>525000</v>
      </c>
      <c r="F12" s="240">
        <v>6500000</v>
      </c>
      <c r="G12" s="239">
        <v>7510000</v>
      </c>
      <c r="H12" s="239">
        <v>525000</v>
      </c>
      <c r="I12" s="241" t="s">
        <v>135</v>
      </c>
      <c r="J12" s="242">
        <v>22</v>
      </c>
      <c r="K12" s="242">
        <v>0</v>
      </c>
      <c r="L12" s="243">
        <v>0</v>
      </c>
      <c r="M12" s="242">
        <v>0</v>
      </c>
      <c r="N12" s="242"/>
      <c r="O12" s="242">
        <v>0</v>
      </c>
      <c r="P12" s="244">
        <v>0</v>
      </c>
      <c r="Q12" s="244"/>
      <c r="R12" s="244"/>
      <c r="S12" s="244">
        <v>0</v>
      </c>
      <c r="T12" s="245">
        <v>0</v>
      </c>
      <c r="U12" s="245">
        <v>0</v>
      </c>
      <c r="V12" s="245">
        <v>0</v>
      </c>
      <c r="W12" s="245"/>
      <c r="X12" s="245">
        <v>0</v>
      </c>
      <c r="Y12" s="245">
        <v>0</v>
      </c>
      <c r="Z12" s="245">
        <v>82.800000000000011</v>
      </c>
      <c r="AA12" s="245">
        <v>0</v>
      </c>
      <c r="AB12" s="245">
        <v>33</v>
      </c>
      <c r="AC12" s="245">
        <v>0</v>
      </c>
      <c r="AD12" s="241">
        <f>ROUND(F12*(J12)/$A$5*$B$5,-3)</f>
        <v>5525000</v>
      </c>
      <c r="AE12" s="246">
        <f>ROUND(IF(I12="A",(D12-F12-4500000)*(J12)/$A$5*$B$5,IF(I12="B",(D12-F12-4500000)*0.5*(J12)/$A$5*$B$5,IF(I12="C",0))),-3)</f>
        <v>0</v>
      </c>
      <c r="AF12" s="247">
        <f>ROUND(G12*(K12)/$A$5,-3)</f>
        <v>0</v>
      </c>
      <c r="AG12" s="247"/>
      <c r="AH12" s="247">
        <f t="shared" ref="AH12:AH26" si="5">ROUND((D12)*M12/$A$5,-3)</f>
        <v>0</v>
      </c>
      <c r="AI12" s="247">
        <f>ROUND(G12*(L12)/$A$5,-3)</f>
        <v>0</v>
      </c>
      <c r="AJ12" s="247">
        <f>ROUND(G12*N12/$A$5*85%,-3)</f>
        <v>0</v>
      </c>
      <c r="AK12" s="248">
        <f t="shared" si="0"/>
        <v>0</v>
      </c>
      <c r="AL12" s="249">
        <f t="shared" si="1"/>
        <v>4979000</v>
      </c>
      <c r="AM12" s="249">
        <f t="shared" si="2"/>
        <v>0</v>
      </c>
      <c r="AN12" s="249">
        <f t="shared" si="3"/>
        <v>0</v>
      </c>
      <c r="AO12" s="249">
        <f t="shared" si="4"/>
        <v>0</v>
      </c>
      <c r="AP12" s="250"/>
      <c r="AQ12" s="247">
        <v>525000</v>
      </c>
      <c r="AR12" s="247"/>
      <c r="AS12" s="251"/>
      <c r="AT12" s="251"/>
      <c r="AU12" s="251"/>
      <c r="AV12" s="252"/>
      <c r="AW12" s="253">
        <f>ROUND(SUM(AD12:AU12)-AV12,-3)</f>
        <v>11029000</v>
      </c>
      <c r="AX12" s="186">
        <f t="shared" ref="AX12" si="6">ROUND(IF((AW12-AY12-AZ12-BA12)*0.5%&lt;234000,(AW12-AY12-AZ12-BA12)*0.5%,234000),-3)</f>
        <v>51000</v>
      </c>
      <c r="AY12" s="288">
        <v>642800</v>
      </c>
      <c r="AZ12" s="288">
        <v>130725</v>
      </c>
      <c r="BA12" s="288">
        <v>80350</v>
      </c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8">
        <f t="shared" ref="BN12:BN26" si="7">SUM(AX12:BM12)</f>
        <v>904875</v>
      </c>
      <c r="BO12" s="187"/>
      <c r="BP12" s="187"/>
      <c r="BQ12" s="188">
        <f t="shared" ref="BQ12:BQ26" si="8">(AW12-BN12+BO12+BP12)</f>
        <v>10124125</v>
      </c>
      <c r="BR12" s="187">
        <v>100000</v>
      </c>
      <c r="BS12" s="187">
        <v>22</v>
      </c>
      <c r="BT12" s="187">
        <f>BS12*$BT$5</f>
        <v>726000</v>
      </c>
      <c r="BU12" s="188">
        <f t="shared" ref="BU12:BU26" si="9">BQ12+BT12+BR12</f>
        <v>10950125</v>
      </c>
      <c r="BV12" s="193"/>
    </row>
    <row r="13" spans="1:74" s="49" customFormat="1" ht="33.75" customHeight="1" x14ac:dyDescent="0.25">
      <c r="A13" s="35">
        <v>3</v>
      </c>
      <c r="B13" s="63" t="s">
        <v>25</v>
      </c>
      <c r="C13" s="65" t="s">
        <v>24</v>
      </c>
      <c r="D13" s="238">
        <v>14700000</v>
      </c>
      <c r="E13" s="239"/>
      <c r="F13" s="240">
        <v>6500000</v>
      </c>
      <c r="G13" s="239">
        <v>7510000</v>
      </c>
      <c r="H13" s="239"/>
      <c r="I13" s="241" t="s">
        <v>135</v>
      </c>
      <c r="J13" s="242">
        <v>22</v>
      </c>
      <c r="K13" s="242">
        <v>0</v>
      </c>
      <c r="L13" s="242">
        <v>0</v>
      </c>
      <c r="M13" s="242">
        <v>0</v>
      </c>
      <c r="N13" s="242"/>
      <c r="O13" s="242">
        <v>0</v>
      </c>
      <c r="P13" s="254">
        <v>0</v>
      </c>
      <c r="Q13" s="244"/>
      <c r="R13" s="244"/>
      <c r="S13" s="244">
        <v>0</v>
      </c>
      <c r="T13" s="247">
        <v>0</v>
      </c>
      <c r="U13" s="247">
        <v>0</v>
      </c>
      <c r="V13" s="247">
        <v>0</v>
      </c>
      <c r="W13" s="247"/>
      <c r="X13" s="247">
        <v>0</v>
      </c>
      <c r="Y13" s="247">
        <v>0</v>
      </c>
      <c r="Z13" s="247">
        <v>12</v>
      </c>
      <c r="AA13" s="247">
        <v>0</v>
      </c>
      <c r="AB13" s="247">
        <v>149</v>
      </c>
      <c r="AC13" s="247">
        <v>0</v>
      </c>
      <c r="AD13" s="241">
        <f>ROUND(F13*(J13)/$A$5*$B$5,-3)</f>
        <v>5525000</v>
      </c>
      <c r="AE13" s="246">
        <f>ROUND(IF(I13="A",(D13-F13-4500000)*(J13)/$A$5*$B$5,IF(I13="B",(D13-F13-4500000)*0.5*(J13)/$A$5*$B$5,IF(I13="C",0))),-3)</f>
        <v>0</v>
      </c>
      <c r="AF13" s="247">
        <f>ROUND(G13*(K13)/$A$5,-3)</f>
        <v>0</v>
      </c>
      <c r="AG13" s="247"/>
      <c r="AH13" s="247">
        <f t="shared" si="5"/>
        <v>0</v>
      </c>
      <c r="AI13" s="247">
        <f>ROUND(G13*(L13)/$A$5,-3)</f>
        <v>0</v>
      </c>
      <c r="AJ13" s="247">
        <f>ROUND(G13*N13/$A$5*85%,-3)</f>
        <v>0</v>
      </c>
      <c r="AK13" s="248">
        <f t="shared" si="0"/>
        <v>0</v>
      </c>
      <c r="AL13" s="249">
        <f t="shared" si="1"/>
        <v>6923000</v>
      </c>
      <c r="AM13" s="249">
        <f t="shared" si="2"/>
        <v>0</v>
      </c>
      <c r="AN13" s="249">
        <f t="shared" si="3"/>
        <v>0</v>
      </c>
      <c r="AO13" s="249">
        <f t="shared" si="4"/>
        <v>0</v>
      </c>
      <c r="AP13" s="250"/>
      <c r="AQ13" s="255"/>
      <c r="AR13" s="247"/>
      <c r="AS13" s="251"/>
      <c r="AT13" s="251"/>
      <c r="AU13" s="251"/>
      <c r="AV13" s="252"/>
      <c r="AW13" s="253">
        <f>ROUND(SUM(AD13:AU13)-AV13,-3)</f>
        <v>12448000</v>
      </c>
      <c r="AX13" s="186">
        <f>ROUND(IF((AW13-AY13-AZ13-BA13-BM13)*0.5%&lt;234000,(AW13-AY13-AZ13-BA13-BM13)*0.5%,234000),-3)</f>
        <v>57000</v>
      </c>
      <c r="AY13" s="288">
        <v>600800</v>
      </c>
      <c r="AZ13" s="288">
        <v>122850</v>
      </c>
      <c r="BA13" s="288">
        <v>75100</v>
      </c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>
        <v>200000</v>
      </c>
      <c r="BN13" s="188">
        <f t="shared" si="7"/>
        <v>1055750</v>
      </c>
      <c r="BO13" s="187"/>
      <c r="BP13" s="187">
        <v>80000</v>
      </c>
      <c r="BQ13" s="188">
        <f t="shared" si="8"/>
        <v>11472250</v>
      </c>
      <c r="BR13" s="187">
        <v>100000</v>
      </c>
      <c r="BS13" s="187">
        <v>22</v>
      </c>
      <c r="BT13" s="187">
        <f t="shared" ref="BT13:BT26" si="10">BS13*$BT$5</f>
        <v>726000</v>
      </c>
      <c r="BU13" s="188">
        <f t="shared" si="9"/>
        <v>12298250</v>
      </c>
      <c r="BV13" s="193"/>
    </row>
    <row r="14" spans="1:74" s="49" customFormat="1" ht="33.75" customHeight="1" x14ac:dyDescent="0.25">
      <c r="A14" s="35">
        <v>4</v>
      </c>
      <c r="B14" s="63" t="s">
        <v>26</v>
      </c>
      <c r="C14" s="64" t="s">
        <v>89</v>
      </c>
      <c r="D14" s="238">
        <v>14200000</v>
      </c>
      <c r="E14" s="239">
        <v>525000</v>
      </c>
      <c r="F14" s="240">
        <v>6500000</v>
      </c>
      <c r="G14" s="239">
        <v>7140000</v>
      </c>
      <c r="H14" s="239">
        <v>525000</v>
      </c>
      <c r="I14" s="241" t="s">
        <v>135</v>
      </c>
      <c r="J14" s="242">
        <v>22</v>
      </c>
      <c r="K14" s="242">
        <v>0</v>
      </c>
      <c r="L14" s="242">
        <v>0</v>
      </c>
      <c r="M14" s="242">
        <v>0</v>
      </c>
      <c r="N14" s="242"/>
      <c r="O14" s="242">
        <v>0</v>
      </c>
      <c r="P14" s="254">
        <v>0</v>
      </c>
      <c r="Q14" s="244"/>
      <c r="R14" s="244"/>
      <c r="S14" s="244">
        <v>0</v>
      </c>
      <c r="T14" s="245">
        <v>0</v>
      </c>
      <c r="U14" s="245">
        <v>0</v>
      </c>
      <c r="V14" s="245">
        <v>0</v>
      </c>
      <c r="W14" s="245">
        <v>0</v>
      </c>
      <c r="X14" s="245">
        <v>49.4</v>
      </c>
      <c r="Y14" s="245">
        <v>0</v>
      </c>
      <c r="Z14" s="245">
        <v>2</v>
      </c>
      <c r="AA14" s="245">
        <v>0</v>
      </c>
      <c r="AB14" s="245">
        <v>0</v>
      </c>
      <c r="AC14" s="245">
        <v>0</v>
      </c>
      <c r="AD14" s="241">
        <f>ROUND(F14*(J14)/$A$5*$B$5,-3)</f>
        <v>5525000</v>
      </c>
      <c r="AE14" s="246">
        <f>ROUND(IF(I14="A",(D14-F14-4500000)*(J14)/$A$5*$B$5,IF(I14="B",(D14-F14-4500000)*0.5*(J14)/$A$5*$B$5,IF(I14="C",0))),-3)</f>
        <v>0</v>
      </c>
      <c r="AF14" s="247">
        <f>ROUND(G14*(K14)/$A$5,-3)</f>
        <v>0</v>
      </c>
      <c r="AG14" s="247"/>
      <c r="AH14" s="247">
        <f t="shared" si="5"/>
        <v>0</v>
      </c>
      <c r="AI14" s="247">
        <f>ROUND(G14*(L14)/$A$5,-3)</f>
        <v>0</v>
      </c>
      <c r="AJ14" s="247">
        <f>ROUND(G14*N14/$A$5*85%,-3)</f>
        <v>0</v>
      </c>
      <c r="AK14" s="248">
        <f t="shared" si="0"/>
        <v>0</v>
      </c>
      <c r="AL14" s="249">
        <f t="shared" si="1"/>
        <v>2210000</v>
      </c>
      <c r="AM14" s="249">
        <f t="shared" si="2"/>
        <v>0</v>
      </c>
      <c r="AN14" s="249">
        <f t="shared" si="3"/>
        <v>0</v>
      </c>
      <c r="AO14" s="249">
        <f t="shared" si="4"/>
        <v>0</v>
      </c>
      <c r="AP14" s="250"/>
      <c r="AQ14" s="247">
        <v>525000</v>
      </c>
      <c r="AR14" s="247"/>
      <c r="AS14" s="251"/>
      <c r="AT14" s="251"/>
      <c r="AU14" s="251"/>
      <c r="AV14" s="252"/>
      <c r="AW14" s="253">
        <f>ROUND(SUM(AD14:AU14)-AV14,-3)</f>
        <v>8260000</v>
      </c>
      <c r="AX14" s="186">
        <f t="shared" ref="AX14:AX26" si="11">ROUND(IF((AW14-AY14-AZ14-BA14-BM14)*0.5%&lt;234000,(AW14-AY14-AZ14-BA14-BM14)*0.5%,234000),-3)</f>
        <v>36000</v>
      </c>
      <c r="AY14" s="288">
        <v>613200</v>
      </c>
      <c r="AZ14" s="288">
        <v>124725</v>
      </c>
      <c r="BA14" s="288">
        <v>76650</v>
      </c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>
        <v>150000</v>
      </c>
      <c r="BN14" s="188">
        <f t="shared" si="7"/>
        <v>1000575</v>
      </c>
      <c r="BO14" s="187"/>
      <c r="BP14" s="187"/>
      <c r="BQ14" s="188">
        <f t="shared" si="8"/>
        <v>7259425</v>
      </c>
      <c r="BR14" s="187">
        <v>100000</v>
      </c>
      <c r="BS14" s="187">
        <v>22</v>
      </c>
      <c r="BT14" s="187">
        <f t="shared" si="10"/>
        <v>726000</v>
      </c>
      <c r="BU14" s="188">
        <f t="shared" si="9"/>
        <v>8085425</v>
      </c>
      <c r="BV14" s="193"/>
    </row>
    <row r="15" spans="1:74" s="50" customFormat="1" ht="33.75" customHeight="1" x14ac:dyDescent="0.25">
      <c r="A15" s="35">
        <v>5</v>
      </c>
      <c r="B15" s="63" t="s">
        <v>27</v>
      </c>
      <c r="C15" s="65" t="s">
        <v>24</v>
      </c>
      <c r="D15" s="238">
        <v>14200000</v>
      </c>
      <c r="E15" s="256"/>
      <c r="F15" s="257">
        <v>6500000</v>
      </c>
      <c r="G15" s="239">
        <v>7140000</v>
      </c>
      <c r="H15" s="239"/>
      <c r="I15" s="241" t="s">
        <v>135</v>
      </c>
      <c r="J15" s="242">
        <v>22</v>
      </c>
      <c r="K15" s="242">
        <v>0</v>
      </c>
      <c r="L15" s="242"/>
      <c r="M15" s="242"/>
      <c r="N15" s="242"/>
      <c r="O15" s="242"/>
      <c r="P15" s="254"/>
      <c r="Q15" s="244"/>
      <c r="R15" s="244"/>
      <c r="S15" s="244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1">
        <f>ROUND(F15*(J15)/$A$5*$B$5,-3)</f>
        <v>5525000</v>
      </c>
      <c r="AE15" s="246">
        <f>ROUND(IF(I15="A",(D15-F15-4500000)*(J15)/$A$5*$B$5,IF(I15="B",(D15-F15-4500000)*0.5*(J15)/$A$5*$B$5,IF(I15="C",0))),-3)</f>
        <v>0</v>
      </c>
      <c r="AF15" s="247">
        <f>ROUND(G15*(K15)/$A$5,-3)</f>
        <v>0</v>
      </c>
      <c r="AG15" s="247"/>
      <c r="AH15" s="247">
        <f t="shared" si="5"/>
        <v>0</v>
      </c>
      <c r="AI15" s="247">
        <f>ROUND(G15*(L15)/$A$5,-3)</f>
        <v>0</v>
      </c>
      <c r="AJ15" s="247">
        <f>ROUND(G15*N15/$A$5*85%,-3)</f>
        <v>0</v>
      </c>
      <c r="AK15" s="248">
        <f t="shared" si="0"/>
        <v>0</v>
      </c>
      <c r="AL15" s="249">
        <f t="shared" si="1"/>
        <v>0</v>
      </c>
      <c r="AM15" s="249">
        <f t="shared" si="2"/>
        <v>0</v>
      </c>
      <c r="AN15" s="249">
        <f t="shared" si="3"/>
        <v>0</v>
      </c>
      <c r="AO15" s="249">
        <f t="shared" si="4"/>
        <v>0</v>
      </c>
      <c r="AP15" s="250"/>
      <c r="AQ15" s="247"/>
      <c r="AR15" s="247"/>
      <c r="AS15" s="251"/>
      <c r="AT15" s="251"/>
      <c r="AU15" s="251"/>
      <c r="AV15" s="252"/>
      <c r="AW15" s="253">
        <f>ROUND(SUM(AD15:AU15)-AV15,-3)</f>
        <v>5525000</v>
      </c>
      <c r="AX15" s="186">
        <f t="shared" si="11"/>
        <v>23000</v>
      </c>
      <c r="AY15" s="288">
        <v>571200</v>
      </c>
      <c r="AZ15" s="288">
        <v>116850</v>
      </c>
      <c r="BA15" s="288">
        <v>71400</v>
      </c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>
        <v>100000</v>
      </c>
      <c r="BN15" s="188">
        <f t="shared" si="7"/>
        <v>882450</v>
      </c>
      <c r="BO15" s="187"/>
      <c r="BP15" s="187"/>
      <c r="BQ15" s="188">
        <f t="shared" si="8"/>
        <v>4642550</v>
      </c>
      <c r="BR15" s="187">
        <v>100000</v>
      </c>
      <c r="BS15" s="187">
        <v>22</v>
      </c>
      <c r="BT15" s="187">
        <f t="shared" si="10"/>
        <v>726000</v>
      </c>
      <c r="BU15" s="188">
        <f t="shared" si="9"/>
        <v>5468550</v>
      </c>
      <c r="BV15" s="196"/>
    </row>
    <row r="16" spans="1:74" s="50" customFormat="1" ht="33.75" customHeight="1" x14ac:dyDescent="0.25">
      <c r="A16" s="35">
        <v>6</v>
      </c>
      <c r="B16" s="63" t="s">
        <v>45</v>
      </c>
      <c r="C16" s="65" t="s">
        <v>24</v>
      </c>
      <c r="D16" s="238">
        <v>14700000</v>
      </c>
      <c r="E16" s="239"/>
      <c r="F16" s="240">
        <v>6500000</v>
      </c>
      <c r="G16" s="239">
        <v>7510000</v>
      </c>
      <c r="H16" s="239"/>
      <c r="I16" s="241" t="s">
        <v>135</v>
      </c>
      <c r="J16" s="242">
        <v>22</v>
      </c>
      <c r="K16" s="242">
        <v>0</v>
      </c>
      <c r="L16" s="242">
        <v>0</v>
      </c>
      <c r="M16" s="242">
        <v>0</v>
      </c>
      <c r="N16" s="242"/>
      <c r="O16" s="242">
        <v>0</v>
      </c>
      <c r="P16" s="254">
        <v>0</v>
      </c>
      <c r="Q16" s="244"/>
      <c r="R16" s="244"/>
      <c r="S16" s="244">
        <v>0</v>
      </c>
      <c r="T16" s="243">
        <v>0</v>
      </c>
      <c r="U16" s="243">
        <v>0</v>
      </c>
      <c r="V16" s="243">
        <v>0</v>
      </c>
      <c r="W16" s="243"/>
      <c r="X16" s="243">
        <v>0</v>
      </c>
      <c r="Y16" s="243">
        <v>0</v>
      </c>
      <c r="Z16" s="243">
        <v>0</v>
      </c>
      <c r="AA16" s="243">
        <v>0</v>
      </c>
      <c r="AB16" s="243">
        <v>0</v>
      </c>
      <c r="AC16" s="243">
        <v>0</v>
      </c>
      <c r="AD16" s="241">
        <f t="shared" ref="AD16:AD22" si="12">ROUND(F16*(J16)/$A$5*$B$5,-3)</f>
        <v>5525000</v>
      </c>
      <c r="AE16" s="246">
        <f t="shared" ref="AE16:AE22" si="13">ROUND(IF(I16="A",(D16-F16-4500000)*(J16)/$A$5*$B$5,IF(I16="B",(D16-F16-4500000)*0.5*(J16)/$A$5*$B$5,IF(I16="C",0))),-3)</f>
        <v>0</v>
      </c>
      <c r="AF16" s="247">
        <f t="shared" ref="AF16:AF26" si="14">ROUND(G16*(K16)/$A$5,-3)</f>
        <v>0</v>
      </c>
      <c r="AG16" s="247"/>
      <c r="AH16" s="247">
        <f t="shared" si="5"/>
        <v>0</v>
      </c>
      <c r="AI16" s="247">
        <f t="shared" ref="AI16:AI21" si="15">ROUND(G16*(L16)/$A$5,-3)</f>
        <v>0</v>
      </c>
      <c r="AJ16" s="247">
        <f t="shared" ref="AJ16:AJ26" si="16">ROUND(G16*N16/$A$5*85%,-3)</f>
        <v>0</v>
      </c>
      <c r="AK16" s="248">
        <f t="shared" si="0"/>
        <v>0</v>
      </c>
      <c r="AL16" s="249">
        <f t="shared" si="1"/>
        <v>0</v>
      </c>
      <c r="AM16" s="249">
        <f t="shared" si="2"/>
        <v>0</v>
      </c>
      <c r="AN16" s="249">
        <f>ROUND((T16*43000+V16*43000),-3)</f>
        <v>0</v>
      </c>
      <c r="AO16" s="249">
        <f t="shared" si="4"/>
        <v>0</v>
      </c>
      <c r="AP16" s="250"/>
      <c r="AQ16" s="258"/>
      <c r="AR16" s="247">
        <f>E16*(J16+K16)/$A$5</f>
        <v>0</v>
      </c>
      <c r="AS16" s="247"/>
      <c r="AT16" s="247"/>
      <c r="AU16" s="247"/>
      <c r="AV16" s="259"/>
      <c r="AW16" s="253">
        <f t="shared" ref="AW16:AW26" si="17">ROUND(SUM(AD16:AU16)-AV16,-3)</f>
        <v>5525000</v>
      </c>
      <c r="AX16" s="186">
        <f t="shared" si="11"/>
        <v>22000</v>
      </c>
      <c r="AY16" s="288">
        <v>600800</v>
      </c>
      <c r="AZ16" s="288">
        <v>122850</v>
      </c>
      <c r="BA16" s="288">
        <v>75100</v>
      </c>
      <c r="BB16" s="187"/>
      <c r="BC16" s="187"/>
      <c r="BD16" s="187"/>
      <c r="BE16" s="187"/>
      <c r="BF16" s="187"/>
      <c r="BG16" s="187"/>
      <c r="BH16" s="187"/>
      <c r="BI16" s="187"/>
      <c r="BJ16" s="187">
        <v>2022000</v>
      </c>
      <c r="BK16" s="187"/>
      <c r="BL16" s="187"/>
      <c r="BM16" s="187">
        <v>400000</v>
      </c>
      <c r="BN16" s="188">
        <f t="shared" si="7"/>
        <v>3242750</v>
      </c>
      <c r="BO16" s="187"/>
      <c r="BP16" s="187"/>
      <c r="BQ16" s="188">
        <f t="shared" si="8"/>
        <v>2282250</v>
      </c>
      <c r="BR16" s="187">
        <v>100000</v>
      </c>
      <c r="BS16" s="187">
        <v>22</v>
      </c>
      <c r="BT16" s="187">
        <f t="shared" si="10"/>
        <v>726000</v>
      </c>
      <c r="BU16" s="188">
        <f t="shared" si="9"/>
        <v>3108250</v>
      </c>
      <c r="BV16" s="196"/>
    </row>
    <row r="17" spans="1:74" s="50" customFormat="1" ht="33.75" customHeight="1" x14ac:dyDescent="0.25">
      <c r="A17" s="35">
        <v>7</v>
      </c>
      <c r="B17" s="63" t="s">
        <v>22</v>
      </c>
      <c r="C17" s="64" t="s">
        <v>53</v>
      </c>
      <c r="D17" s="238">
        <v>14200000</v>
      </c>
      <c r="E17" s="239">
        <v>420000</v>
      </c>
      <c r="F17" s="240">
        <v>6500000</v>
      </c>
      <c r="G17" s="239">
        <v>7140000</v>
      </c>
      <c r="H17" s="239">
        <v>420000</v>
      </c>
      <c r="I17" s="241" t="s">
        <v>21</v>
      </c>
      <c r="J17" s="242">
        <v>17.5</v>
      </c>
      <c r="K17" s="242">
        <v>0</v>
      </c>
      <c r="L17" s="242">
        <v>0</v>
      </c>
      <c r="M17" s="242">
        <v>0</v>
      </c>
      <c r="N17" s="242"/>
      <c r="O17" s="242">
        <v>0</v>
      </c>
      <c r="P17" s="254">
        <v>31.25</v>
      </c>
      <c r="Q17" s="254"/>
      <c r="R17" s="254"/>
      <c r="S17" s="244">
        <v>4.5</v>
      </c>
      <c r="T17" s="243">
        <v>0</v>
      </c>
      <c r="U17" s="243">
        <v>0</v>
      </c>
      <c r="V17" s="243">
        <v>0</v>
      </c>
      <c r="W17" s="243"/>
      <c r="X17" s="243">
        <v>0</v>
      </c>
      <c r="Y17" s="243">
        <v>0</v>
      </c>
      <c r="Z17" s="243">
        <v>8.4500000000000028</v>
      </c>
      <c r="AA17" s="243">
        <v>0</v>
      </c>
      <c r="AB17" s="243">
        <v>5</v>
      </c>
      <c r="AC17" s="243">
        <v>0</v>
      </c>
      <c r="AD17" s="241">
        <f t="shared" si="12"/>
        <v>4395000</v>
      </c>
      <c r="AE17" s="246">
        <f>ROUND(IF(I17="A",(D17-F17-4500000)*(J17)/$A$5*$B$5,IF(I17="B",(D17-F17-4500000)*0.5*(J17)/$A$5*$B$5,IF(I17="C",0))),-3)</f>
        <v>2164000</v>
      </c>
      <c r="AF17" s="247">
        <f t="shared" si="14"/>
        <v>0</v>
      </c>
      <c r="AG17" s="247"/>
      <c r="AH17" s="247">
        <f t="shared" si="5"/>
        <v>0</v>
      </c>
      <c r="AI17" s="247">
        <f t="shared" si="15"/>
        <v>0</v>
      </c>
      <c r="AJ17" s="260">
        <f t="shared" si="16"/>
        <v>0</v>
      </c>
      <c r="AK17" s="248">
        <f>ROUND(P17*316000,-3)</f>
        <v>9875000</v>
      </c>
      <c r="AL17" s="249">
        <f t="shared" si="1"/>
        <v>578000</v>
      </c>
      <c r="AM17" s="249">
        <f t="shared" si="2"/>
        <v>0</v>
      </c>
      <c r="AN17" s="249">
        <f t="shared" si="3"/>
        <v>0</v>
      </c>
      <c r="AO17" s="249">
        <f t="shared" si="4"/>
        <v>0</v>
      </c>
      <c r="AP17" s="250"/>
      <c r="AQ17" s="238">
        <v>420000</v>
      </c>
      <c r="AR17" s="238"/>
      <c r="AS17" s="247"/>
      <c r="AT17" s="247"/>
      <c r="AU17" s="247"/>
      <c r="AV17" s="261"/>
      <c r="AW17" s="253">
        <f t="shared" si="17"/>
        <v>17432000</v>
      </c>
      <c r="AX17" s="186">
        <f t="shared" si="11"/>
        <v>83000</v>
      </c>
      <c r="AY17" s="288">
        <v>604800</v>
      </c>
      <c r="AZ17" s="288">
        <v>123150</v>
      </c>
      <c r="BA17" s="288">
        <v>75600</v>
      </c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8">
        <f t="shared" si="7"/>
        <v>886550</v>
      </c>
      <c r="BO17" s="187"/>
      <c r="BP17" s="187"/>
      <c r="BQ17" s="188">
        <f t="shared" si="8"/>
        <v>16545450</v>
      </c>
      <c r="BR17" s="187">
        <v>100000</v>
      </c>
      <c r="BS17" s="187">
        <v>18</v>
      </c>
      <c r="BT17" s="187">
        <f t="shared" si="10"/>
        <v>594000</v>
      </c>
      <c r="BU17" s="188">
        <f t="shared" si="9"/>
        <v>17239450</v>
      </c>
      <c r="BV17" s="196"/>
    </row>
    <row r="18" spans="1:74" s="50" customFormat="1" ht="33.75" customHeight="1" x14ac:dyDescent="0.25">
      <c r="A18" s="35">
        <v>8</v>
      </c>
      <c r="B18" s="262" t="s">
        <v>54</v>
      </c>
      <c r="C18" s="65" t="s">
        <v>24</v>
      </c>
      <c r="D18" s="238">
        <v>13690000</v>
      </c>
      <c r="E18" s="242"/>
      <c r="F18" s="240">
        <v>6500000</v>
      </c>
      <c r="G18" s="239">
        <v>6800000</v>
      </c>
      <c r="H18" s="239"/>
      <c r="I18" s="241" t="s">
        <v>135</v>
      </c>
      <c r="J18" s="242">
        <v>22</v>
      </c>
      <c r="K18" s="242">
        <v>0</v>
      </c>
      <c r="L18" s="242">
        <v>0</v>
      </c>
      <c r="M18" s="242">
        <v>0</v>
      </c>
      <c r="N18" s="242"/>
      <c r="O18" s="242">
        <v>0</v>
      </c>
      <c r="P18" s="254">
        <v>0</v>
      </c>
      <c r="Q18" s="254"/>
      <c r="R18" s="254"/>
      <c r="S18" s="244">
        <v>0</v>
      </c>
      <c r="T18" s="243">
        <v>0</v>
      </c>
      <c r="U18" s="243">
        <v>0</v>
      </c>
      <c r="V18" s="243">
        <v>0</v>
      </c>
      <c r="W18" s="243">
        <v>0</v>
      </c>
      <c r="X18" s="243">
        <v>0</v>
      </c>
      <c r="Y18" s="243">
        <v>0</v>
      </c>
      <c r="Z18" s="243">
        <v>0</v>
      </c>
      <c r="AA18" s="243">
        <v>0</v>
      </c>
      <c r="AB18" s="243">
        <v>0</v>
      </c>
      <c r="AC18" s="243">
        <v>0</v>
      </c>
      <c r="AD18" s="241">
        <f t="shared" si="12"/>
        <v>5525000</v>
      </c>
      <c r="AE18" s="246">
        <f t="shared" si="13"/>
        <v>0</v>
      </c>
      <c r="AF18" s="247">
        <f t="shared" si="14"/>
        <v>0</v>
      </c>
      <c r="AG18" s="247"/>
      <c r="AH18" s="247">
        <f t="shared" si="5"/>
        <v>0</v>
      </c>
      <c r="AI18" s="247">
        <f t="shared" si="15"/>
        <v>0</v>
      </c>
      <c r="AJ18" s="247">
        <f t="shared" si="16"/>
        <v>0</v>
      </c>
      <c r="AK18" s="248">
        <f>ROUND(P18*316000,-3)+ROUND(O18*316000,-3)</f>
        <v>0</v>
      </c>
      <c r="AL18" s="249">
        <f t="shared" si="1"/>
        <v>0</v>
      </c>
      <c r="AM18" s="249">
        <f t="shared" si="2"/>
        <v>0</v>
      </c>
      <c r="AN18" s="249">
        <f t="shared" si="3"/>
        <v>0</v>
      </c>
      <c r="AO18" s="249">
        <f t="shared" si="4"/>
        <v>0</v>
      </c>
      <c r="AP18" s="250"/>
      <c r="AQ18" s="258"/>
      <c r="AR18" s="247">
        <f>E18*(J18+K18)/$A$5</f>
        <v>0</v>
      </c>
      <c r="AS18" s="247"/>
      <c r="AT18" s="247"/>
      <c r="AU18" s="247"/>
      <c r="AV18" s="261"/>
      <c r="AW18" s="253">
        <f t="shared" si="17"/>
        <v>5525000</v>
      </c>
      <c r="AX18" s="186">
        <f t="shared" si="11"/>
        <v>24000</v>
      </c>
      <c r="AY18" s="288">
        <v>544000</v>
      </c>
      <c r="AZ18" s="288">
        <v>111300</v>
      </c>
      <c r="BA18" s="288">
        <v>68000</v>
      </c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8">
        <f t="shared" si="7"/>
        <v>747300</v>
      </c>
      <c r="BO18" s="187"/>
      <c r="BP18" s="187">
        <v>80000</v>
      </c>
      <c r="BQ18" s="188">
        <f t="shared" si="8"/>
        <v>4857700</v>
      </c>
      <c r="BR18" s="187">
        <v>100000</v>
      </c>
      <c r="BS18" s="187">
        <v>22</v>
      </c>
      <c r="BT18" s="187">
        <f t="shared" si="10"/>
        <v>726000</v>
      </c>
      <c r="BU18" s="188">
        <f t="shared" si="9"/>
        <v>5683700</v>
      </c>
      <c r="BV18" s="200"/>
    </row>
    <row r="19" spans="1:74" s="51" customFormat="1" ht="33.75" customHeight="1" x14ac:dyDescent="0.25">
      <c r="A19" s="35">
        <v>9</v>
      </c>
      <c r="B19" s="262" t="s">
        <v>59</v>
      </c>
      <c r="C19" s="65" t="s">
        <v>24</v>
      </c>
      <c r="D19" s="238">
        <v>14200000</v>
      </c>
      <c r="E19" s="242"/>
      <c r="F19" s="240">
        <v>6500000</v>
      </c>
      <c r="G19" s="239">
        <v>7140000</v>
      </c>
      <c r="H19" s="239"/>
      <c r="I19" s="241" t="s">
        <v>21</v>
      </c>
      <c r="J19" s="242">
        <v>22</v>
      </c>
      <c r="K19" s="242">
        <v>0</v>
      </c>
      <c r="L19" s="242">
        <v>0</v>
      </c>
      <c r="M19" s="242">
        <v>0</v>
      </c>
      <c r="N19" s="242"/>
      <c r="O19" s="242">
        <v>0</v>
      </c>
      <c r="P19" s="254">
        <v>0</v>
      </c>
      <c r="Q19" s="244"/>
      <c r="R19" s="244"/>
      <c r="S19" s="244">
        <v>0</v>
      </c>
      <c r="T19" s="243">
        <v>0</v>
      </c>
      <c r="U19" s="243">
        <v>0</v>
      </c>
      <c r="V19" s="243">
        <v>0</v>
      </c>
      <c r="W19" s="243">
        <v>0</v>
      </c>
      <c r="X19" s="243">
        <v>0</v>
      </c>
      <c r="Y19" s="243">
        <v>0</v>
      </c>
      <c r="Z19" s="243">
        <v>0</v>
      </c>
      <c r="AA19" s="243">
        <v>0</v>
      </c>
      <c r="AB19" s="243">
        <v>5.4333333333333371</v>
      </c>
      <c r="AC19" s="243">
        <v>0</v>
      </c>
      <c r="AD19" s="241">
        <f t="shared" si="12"/>
        <v>5525000</v>
      </c>
      <c r="AE19" s="246">
        <f t="shared" si="13"/>
        <v>2720000</v>
      </c>
      <c r="AF19" s="247">
        <f t="shared" si="14"/>
        <v>0</v>
      </c>
      <c r="AG19" s="247"/>
      <c r="AH19" s="247">
        <f t="shared" si="5"/>
        <v>0</v>
      </c>
      <c r="AI19" s="247">
        <f t="shared" si="15"/>
        <v>0</v>
      </c>
      <c r="AJ19" s="247">
        <f t="shared" si="16"/>
        <v>0</v>
      </c>
      <c r="AK19" s="248">
        <f t="shared" ref="AK19:AK26" si="18">ROUND(P19*316000,-3)</f>
        <v>0</v>
      </c>
      <c r="AL19" s="249">
        <f t="shared" si="1"/>
        <v>234000</v>
      </c>
      <c r="AM19" s="249">
        <f t="shared" si="2"/>
        <v>0</v>
      </c>
      <c r="AN19" s="249">
        <f t="shared" si="3"/>
        <v>0</v>
      </c>
      <c r="AO19" s="249">
        <f t="shared" si="4"/>
        <v>0</v>
      </c>
      <c r="AP19" s="250"/>
      <c r="AQ19" s="258"/>
      <c r="AR19" s="247">
        <f>E19*(J19+K19)/$A$5</f>
        <v>0</v>
      </c>
      <c r="AS19" s="241"/>
      <c r="AT19" s="241"/>
      <c r="AU19" s="241"/>
      <c r="AV19" s="261"/>
      <c r="AW19" s="253">
        <f t="shared" si="17"/>
        <v>8479000</v>
      </c>
      <c r="AX19" s="186">
        <f t="shared" si="11"/>
        <v>39000</v>
      </c>
      <c r="AY19" s="288">
        <v>571200</v>
      </c>
      <c r="AZ19" s="288">
        <v>116850</v>
      </c>
      <c r="BA19" s="288">
        <v>71400</v>
      </c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8">
        <f t="shared" si="7"/>
        <v>798450</v>
      </c>
      <c r="BO19" s="187"/>
      <c r="BP19" s="187"/>
      <c r="BQ19" s="188">
        <f t="shared" si="8"/>
        <v>7680550</v>
      </c>
      <c r="BR19" s="187">
        <v>100000</v>
      </c>
      <c r="BS19" s="187">
        <v>22</v>
      </c>
      <c r="BT19" s="187">
        <f t="shared" si="10"/>
        <v>726000</v>
      </c>
      <c r="BU19" s="188">
        <f t="shared" si="9"/>
        <v>8506550</v>
      </c>
      <c r="BV19" s="200"/>
    </row>
    <row r="20" spans="1:74" s="51" customFormat="1" ht="33.75" customHeight="1" x14ac:dyDescent="0.25">
      <c r="A20" s="35">
        <v>10</v>
      </c>
      <c r="B20" s="262" t="s">
        <v>60</v>
      </c>
      <c r="C20" s="65" t="s">
        <v>24</v>
      </c>
      <c r="D20" s="238">
        <v>14200000</v>
      </c>
      <c r="E20" s="242"/>
      <c r="F20" s="240">
        <v>6500000</v>
      </c>
      <c r="G20" s="239">
        <v>7140000</v>
      </c>
      <c r="H20" s="239"/>
      <c r="I20" s="241" t="s">
        <v>21</v>
      </c>
      <c r="J20" s="242">
        <v>22</v>
      </c>
      <c r="K20" s="242">
        <v>0</v>
      </c>
      <c r="L20" s="242">
        <v>0</v>
      </c>
      <c r="M20" s="242">
        <v>0</v>
      </c>
      <c r="N20" s="242"/>
      <c r="O20" s="242">
        <v>0</v>
      </c>
      <c r="P20" s="254">
        <v>0</v>
      </c>
      <c r="Q20" s="244"/>
      <c r="R20" s="244"/>
      <c r="S20" s="251">
        <v>0</v>
      </c>
      <c r="T20" s="243">
        <v>0</v>
      </c>
      <c r="U20" s="243">
        <v>0</v>
      </c>
      <c r="V20" s="243">
        <v>0</v>
      </c>
      <c r="W20" s="243">
        <v>0</v>
      </c>
      <c r="X20" s="243">
        <v>0</v>
      </c>
      <c r="Y20" s="243">
        <v>0</v>
      </c>
      <c r="Z20" s="243">
        <v>45</v>
      </c>
      <c r="AA20" s="243">
        <v>0</v>
      </c>
      <c r="AB20" s="243">
        <v>40.433333333333337</v>
      </c>
      <c r="AC20" s="243">
        <v>0</v>
      </c>
      <c r="AD20" s="241">
        <f t="shared" si="12"/>
        <v>5525000</v>
      </c>
      <c r="AE20" s="246">
        <f t="shared" si="13"/>
        <v>2720000</v>
      </c>
      <c r="AF20" s="247">
        <f t="shared" si="14"/>
        <v>0</v>
      </c>
      <c r="AG20" s="247"/>
      <c r="AH20" s="247">
        <f t="shared" si="5"/>
        <v>0</v>
      </c>
      <c r="AI20" s="247">
        <f t="shared" si="15"/>
        <v>0</v>
      </c>
      <c r="AJ20" s="247">
        <f t="shared" si="16"/>
        <v>0</v>
      </c>
      <c r="AK20" s="248">
        <f t="shared" si="18"/>
        <v>0</v>
      </c>
      <c r="AL20" s="249">
        <f t="shared" si="1"/>
        <v>3674000</v>
      </c>
      <c r="AM20" s="249">
        <f t="shared" si="2"/>
        <v>0</v>
      </c>
      <c r="AN20" s="249">
        <f t="shared" si="3"/>
        <v>0</v>
      </c>
      <c r="AO20" s="249">
        <f t="shared" si="4"/>
        <v>0</v>
      </c>
      <c r="AP20" s="250"/>
      <c r="AQ20" s="258"/>
      <c r="AR20" s="247">
        <f>E20*(J20+K20)/$A$5</f>
        <v>0</v>
      </c>
      <c r="AS20" s="241"/>
      <c r="AT20" s="241"/>
      <c r="AU20" s="241"/>
      <c r="AV20" s="261"/>
      <c r="AW20" s="253">
        <f t="shared" si="17"/>
        <v>11919000</v>
      </c>
      <c r="AX20" s="186">
        <f t="shared" si="11"/>
        <v>56000</v>
      </c>
      <c r="AY20" s="288">
        <v>571200</v>
      </c>
      <c r="AZ20" s="288">
        <v>116850</v>
      </c>
      <c r="BA20" s="288">
        <v>71400</v>
      </c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8">
        <f t="shared" si="7"/>
        <v>815450</v>
      </c>
      <c r="BO20" s="187"/>
      <c r="BP20" s="187"/>
      <c r="BQ20" s="188">
        <f t="shared" si="8"/>
        <v>11103550</v>
      </c>
      <c r="BR20" s="187">
        <v>100000</v>
      </c>
      <c r="BS20" s="187">
        <v>22</v>
      </c>
      <c r="BT20" s="187">
        <f t="shared" si="10"/>
        <v>726000</v>
      </c>
      <c r="BU20" s="188">
        <f t="shared" si="9"/>
        <v>11929550</v>
      </c>
      <c r="BV20" s="200"/>
    </row>
    <row r="21" spans="1:74" s="51" customFormat="1" ht="33.75" customHeight="1" x14ac:dyDescent="0.25">
      <c r="A21" s="35">
        <v>11</v>
      </c>
      <c r="B21" s="262" t="s">
        <v>62</v>
      </c>
      <c r="C21" s="65" t="s">
        <v>24</v>
      </c>
      <c r="D21" s="238">
        <v>14700000</v>
      </c>
      <c r="E21" s="242"/>
      <c r="F21" s="240">
        <v>6500000</v>
      </c>
      <c r="G21" s="239">
        <v>7510000</v>
      </c>
      <c r="H21" s="239"/>
      <c r="I21" s="241" t="s">
        <v>21</v>
      </c>
      <c r="J21" s="242">
        <v>22</v>
      </c>
      <c r="K21" s="242">
        <v>0</v>
      </c>
      <c r="L21" s="242">
        <v>0</v>
      </c>
      <c r="M21" s="242">
        <v>0</v>
      </c>
      <c r="N21" s="242"/>
      <c r="O21" s="242">
        <v>0</v>
      </c>
      <c r="P21" s="254">
        <v>0</v>
      </c>
      <c r="Q21" s="244"/>
      <c r="R21" s="244"/>
      <c r="S21" s="244">
        <v>0</v>
      </c>
      <c r="T21" s="243">
        <v>0</v>
      </c>
      <c r="U21" s="243">
        <v>0</v>
      </c>
      <c r="V21" s="243">
        <v>0</v>
      </c>
      <c r="W21" s="243">
        <v>0</v>
      </c>
      <c r="X21" s="243">
        <v>0</v>
      </c>
      <c r="Y21" s="243">
        <v>0</v>
      </c>
      <c r="Z21" s="243">
        <v>0</v>
      </c>
      <c r="AA21" s="243">
        <v>0</v>
      </c>
      <c r="AB21" s="243">
        <v>73</v>
      </c>
      <c r="AC21" s="243">
        <v>0</v>
      </c>
      <c r="AD21" s="241">
        <f t="shared" si="12"/>
        <v>5525000</v>
      </c>
      <c r="AE21" s="246">
        <f t="shared" si="13"/>
        <v>3145000</v>
      </c>
      <c r="AF21" s="247">
        <f t="shared" si="14"/>
        <v>0</v>
      </c>
      <c r="AG21" s="247"/>
      <c r="AH21" s="247">
        <f t="shared" si="5"/>
        <v>0</v>
      </c>
      <c r="AI21" s="247">
        <f t="shared" si="15"/>
        <v>0</v>
      </c>
      <c r="AJ21" s="247">
        <f t="shared" si="16"/>
        <v>0</v>
      </c>
      <c r="AK21" s="248">
        <f t="shared" si="18"/>
        <v>0</v>
      </c>
      <c r="AL21" s="249">
        <f t="shared" si="1"/>
        <v>3139000</v>
      </c>
      <c r="AM21" s="249">
        <f t="shared" si="2"/>
        <v>0</v>
      </c>
      <c r="AN21" s="249">
        <f t="shared" si="3"/>
        <v>0</v>
      </c>
      <c r="AO21" s="249">
        <f t="shared" si="4"/>
        <v>0</v>
      </c>
      <c r="AP21" s="250"/>
      <c r="AQ21" s="258"/>
      <c r="AR21" s="247">
        <f>E21*(J21+K21)/$A$5</f>
        <v>0</v>
      </c>
      <c r="AS21" s="241"/>
      <c r="AT21" s="241"/>
      <c r="AU21" s="241"/>
      <c r="AV21" s="261"/>
      <c r="AW21" s="253">
        <f t="shared" si="17"/>
        <v>11809000</v>
      </c>
      <c r="AX21" s="186">
        <f t="shared" si="11"/>
        <v>55000</v>
      </c>
      <c r="AY21" s="288">
        <v>600800</v>
      </c>
      <c r="AZ21" s="288">
        <v>122850</v>
      </c>
      <c r="BA21" s="288">
        <v>75100</v>
      </c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8">
        <f t="shared" si="7"/>
        <v>853750</v>
      </c>
      <c r="BO21" s="187"/>
      <c r="BP21" s="187"/>
      <c r="BQ21" s="188">
        <f t="shared" si="8"/>
        <v>10955250</v>
      </c>
      <c r="BR21" s="187">
        <v>100000</v>
      </c>
      <c r="BS21" s="187">
        <v>22</v>
      </c>
      <c r="BT21" s="187">
        <f t="shared" si="10"/>
        <v>726000</v>
      </c>
      <c r="BU21" s="188">
        <f t="shared" si="9"/>
        <v>11781250</v>
      </c>
      <c r="BV21" s="200"/>
    </row>
    <row r="22" spans="1:74" s="51" customFormat="1" ht="33.75" customHeight="1" x14ac:dyDescent="0.25">
      <c r="A22" s="35">
        <v>12</v>
      </c>
      <c r="B22" s="262" t="s">
        <v>107</v>
      </c>
      <c r="C22" s="64" t="s">
        <v>136</v>
      </c>
      <c r="D22" s="238">
        <v>13690000</v>
      </c>
      <c r="E22" s="242"/>
      <c r="F22" s="240">
        <v>6500000</v>
      </c>
      <c r="G22" s="239">
        <v>6800000</v>
      </c>
      <c r="H22" s="239"/>
      <c r="I22" s="241" t="s">
        <v>135</v>
      </c>
      <c r="J22" s="242">
        <v>22</v>
      </c>
      <c r="K22" s="242">
        <v>0</v>
      </c>
      <c r="L22" s="242">
        <v>0</v>
      </c>
      <c r="M22" s="242">
        <v>0</v>
      </c>
      <c r="N22" s="242"/>
      <c r="O22" s="242"/>
      <c r="P22" s="254">
        <v>8.5</v>
      </c>
      <c r="Q22" s="244"/>
      <c r="R22" s="244"/>
      <c r="S22" s="244">
        <v>0</v>
      </c>
      <c r="T22" s="243">
        <v>0</v>
      </c>
      <c r="U22" s="243">
        <v>0</v>
      </c>
      <c r="V22" s="243">
        <v>0</v>
      </c>
      <c r="W22" s="243">
        <v>0</v>
      </c>
      <c r="X22" s="243">
        <v>0</v>
      </c>
      <c r="Y22" s="243">
        <v>0</v>
      </c>
      <c r="Z22" s="243">
        <v>0</v>
      </c>
      <c r="AA22" s="243">
        <v>0</v>
      </c>
      <c r="AB22" s="243">
        <v>0</v>
      </c>
      <c r="AC22" s="243">
        <v>0</v>
      </c>
      <c r="AD22" s="241">
        <f t="shared" si="12"/>
        <v>5525000</v>
      </c>
      <c r="AE22" s="246">
        <f t="shared" si="13"/>
        <v>0</v>
      </c>
      <c r="AF22" s="247">
        <f>ROUND(G22*(K22)/$A$5,-3)</f>
        <v>0</v>
      </c>
      <c r="AG22" s="247"/>
      <c r="AH22" s="247">
        <f t="shared" si="5"/>
        <v>0</v>
      </c>
      <c r="AI22" s="247">
        <f>ROUND(G22*(L22)/$A$5,-3)</f>
        <v>0</v>
      </c>
      <c r="AJ22" s="247">
        <f>ROUND(G22*N22/$A$5*85%,-3)</f>
        <v>0</v>
      </c>
      <c r="AK22" s="248">
        <f t="shared" si="18"/>
        <v>2686000</v>
      </c>
      <c r="AL22" s="249">
        <f t="shared" si="1"/>
        <v>0</v>
      </c>
      <c r="AM22" s="249">
        <f t="shared" si="2"/>
        <v>0</v>
      </c>
      <c r="AN22" s="249">
        <f t="shared" si="3"/>
        <v>0</v>
      </c>
      <c r="AO22" s="249">
        <f t="shared" si="4"/>
        <v>0</v>
      </c>
      <c r="AP22" s="250"/>
      <c r="AQ22" s="258"/>
      <c r="AR22" s="247"/>
      <c r="AS22" s="241"/>
      <c r="AT22" s="241"/>
      <c r="AU22" s="241"/>
      <c r="AV22" s="261"/>
      <c r="AW22" s="253">
        <f t="shared" si="17"/>
        <v>8211000</v>
      </c>
      <c r="AX22" s="186">
        <f t="shared" si="11"/>
        <v>37000</v>
      </c>
      <c r="AY22" s="288">
        <v>544000</v>
      </c>
      <c r="AZ22" s="288">
        <v>111300</v>
      </c>
      <c r="BA22" s="288">
        <v>68000</v>
      </c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8">
        <f t="shared" si="7"/>
        <v>760300</v>
      </c>
      <c r="BO22" s="187"/>
      <c r="BP22" s="187"/>
      <c r="BQ22" s="188">
        <f t="shared" si="8"/>
        <v>7450700</v>
      </c>
      <c r="BR22" s="187">
        <v>100000</v>
      </c>
      <c r="BS22" s="187">
        <v>22</v>
      </c>
      <c r="BT22" s="187">
        <f t="shared" si="10"/>
        <v>726000</v>
      </c>
      <c r="BU22" s="188">
        <f t="shared" si="9"/>
        <v>8276700</v>
      </c>
      <c r="BV22" s="200"/>
    </row>
    <row r="23" spans="1:74" s="50" customFormat="1" ht="33.75" customHeight="1" x14ac:dyDescent="0.25">
      <c r="A23" s="35">
        <v>13</v>
      </c>
      <c r="B23" s="63" t="s">
        <v>46</v>
      </c>
      <c r="C23" s="65" t="s">
        <v>24</v>
      </c>
      <c r="D23" s="238">
        <v>14700000</v>
      </c>
      <c r="E23" s="239"/>
      <c r="F23" s="240">
        <v>6500000</v>
      </c>
      <c r="G23" s="239">
        <v>7510000</v>
      </c>
      <c r="H23" s="239"/>
      <c r="I23" s="241" t="s">
        <v>21</v>
      </c>
      <c r="J23" s="242">
        <v>22</v>
      </c>
      <c r="K23" s="242">
        <v>0</v>
      </c>
      <c r="L23" s="242">
        <v>0</v>
      </c>
      <c r="M23" s="242">
        <v>0</v>
      </c>
      <c r="N23" s="242"/>
      <c r="O23" s="242">
        <v>0</v>
      </c>
      <c r="P23" s="254">
        <v>0</v>
      </c>
      <c r="Q23" s="244"/>
      <c r="R23" s="244"/>
      <c r="S23" s="244">
        <v>0</v>
      </c>
      <c r="T23" s="243">
        <v>0</v>
      </c>
      <c r="U23" s="243">
        <v>0</v>
      </c>
      <c r="V23" s="243">
        <v>0</v>
      </c>
      <c r="W23" s="243">
        <v>0</v>
      </c>
      <c r="X23" s="243">
        <v>0</v>
      </c>
      <c r="Y23" s="243">
        <v>0</v>
      </c>
      <c r="Z23" s="243">
        <v>7.0666666666666629</v>
      </c>
      <c r="AA23" s="243">
        <v>0</v>
      </c>
      <c r="AB23" s="243">
        <v>56</v>
      </c>
      <c r="AC23" s="243">
        <v>0</v>
      </c>
      <c r="AD23" s="241">
        <f>ROUND(F23*(J23)/$A$5*$B$5,-3)</f>
        <v>5525000</v>
      </c>
      <c r="AE23" s="246">
        <f>ROUND(IF(I23="A",(D23-F23-4500000)*(J23)/$A$5*$B$5,IF(I23="B",(D23-F23-4500000)*0.5*(J23)/$A$5*$B$5,IF(I23="C",0))),-3)</f>
        <v>3145000</v>
      </c>
      <c r="AF23" s="247">
        <f>ROUND(G23*(K23)/$A$5,-3)</f>
        <v>0</v>
      </c>
      <c r="AG23" s="247"/>
      <c r="AH23" s="247"/>
      <c r="AI23" s="247">
        <f>ROUND(G23*(L23)/$A$5,-3)</f>
        <v>0</v>
      </c>
      <c r="AJ23" s="260"/>
      <c r="AK23" s="248">
        <f>ROUND(P23*316000,-3)</f>
        <v>0</v>
      </c>
      <c r="AL23" s="249">
        <f>ROUND((X23*43000+Z23*43000+AB23*43000),-3)</f>
        <v>2712000</v>
      </c>
      <c r="AM23" s="249">
        <f>ROUND((AC23*54000+AA23*54000+Y23*57000),-3)</f>
        <v>0</v>
      </c>
      <c r="AN23" s="249">
        <f>ROUND((T23*43000+V23*43000),-3)</f>
        <v>0</v>
      </c>
      <c r="AO23" s="249">
        <f>ROUND((U23*48600+W23*52000),-3)</f>
        <v>0</v>
      </c>
      <c r="AP23" s="250"/>
      <c r="AQ23" s="258"/>
      <c r="AR23" s="247"/>
      <c r="AS23" s="247"/>
      <c r="AT23" s="247"/>
      <c r="AU23" s="247"/>
      <c r="AV23" s="259"/>
      <c r="AW23" s="253">
        <f>ROUND(SUM(AD23:AU23)-AV23,-3)</f>
        <v>11382000</v>
      </c>
      <c r="AX23" s="186">
        <f t="shared" si="11"/>
        <v>53000</v>
      </c>
      <c r="AY23" s="288">
        <v>600800</v>
      </c>
      <c r="AZ23" s="288">
        <v>122850</v>
      </c>
      <c r="BA23" s="288">
        <v>75100</v>
      </c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8">
        <f t="shared" si="7"/>
        <v>851750</v>
      </c>
      <c r="BO23" s="187"/>
      <c r="BP23" s="187"/>
      <c r="BQ23" s="188">
        <f t="shared" si="8"/>
        <v>10530250</v>
      </c>
      <c r="BR23" s="187">
        <v>100000</v>
      </c>
      <c r="BS23" s="187">
        <v>22</v>
      </c>
      <c r="BT23" s="187">
        <f t="shared" si="10"/>
        <v>726000</v>
      </c>
      <c r="BU23" s="188">
        <f t="shared" si="9"/>
        <v>11356250</v>
      </c>
      <c r="BV23" s="196"/>
    </row>
    <row r="24" spans="1:74" s="50" customFormat="1" ht="33.75" customHeight="1" x14ac:dyDescent="0.25">
      <c r="A24" s="35">
        <v>14</v>
      </c>
      <c r="B24" s="63" t="s">
        <v>28</v>
      </c>
      <c r="C24" s="65" t="s">
        <v>57</v>
      </c>
      <c r="D24" s="242">
        <v>9160000</v>
      </c>
      <c r="E24" s="242"/>
      <c r="F24" s="240">
        <v>6500000</v>
      </c>
      <c r="G24" s="239">
        <v>6450000</v>
      </c>
      <c r="H24" s="239"/>
      <c r="I24" s="241" t="s">
        <v>135</v>
      </c>
      <c r="J24" s="242">
        <v>22</v>
      </c>
      <c r="K24" s="242">
        <v>0</v>
      </c>
      <c r="L24" s="242">
        <v>0</v>
      </c>
      <c r="M24" s="242">
        <v>0</v>
      </c>
      <c r="N24" s="242"/>
      <c r="O24" s="242">
        <v>0</v>
      </c>
      <c r="P24" s="254">
        <v>10</v>
      </c>
      <c r="Q24" s="244"/>
      <c r="R24" s="244"/>
      <c r="S24" s="244">
        <v>0</v>
      </c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1">
        <f>ROUND(F24*(J24)/$A$5,-3)</f>
        <v>6500000</v>
      </c>
      <c r="AE24" s="246">
        <f>ROUND(IF(I24="A",(D24-F24)*(J24)/$A$5,IF(I24="B",(D24-F24)*0.5*(J24)/$A$5*$B$5,IF(I24="C",0))),-3)</f>
        <v>0</v>
      </c>
      <c r="AF24" s="247">
        <f t="shared" si="14"/>
        <v>0</v>
      </c>
      <c r="AG24" s="247"/>
      <c r="AH24" s="247">
        <f t="shared" si="5"/>
        <v>0</v>
      </c>
      <c r="AI24" s="247">
        <f>ROUND(G24*(L24)/$A$5,-3)</f>
        <v>0</v>
      </c>
      <c r="AJ24" s="247">
        <f t="shared" si="16"/>
        <v>0</v>
      </c>
      <c r="AK24" s="248">
        <f t="shared" si="18"/>
        <v>3160000</v>
      </c>
      <c r="AL24" s="249">
        <f>ROUND((X24*39000+Z24*39000+AB24*39000),-3)</f>
        <v>0</v>
      </c>
      <c r="AM24" s="249">
        <f>ROUND((AC24*52000+AA24*48600+Y24*52000),-3)</f>
        <v>0</v>
      </c>
      <c r="AN24" s="249">
        <f>ROUND((T24*39000+V24*39000),-3)</f>
        <v>0</v>
      </c>
      <c r="AO24" s="249">
        <f t="shared" si="4"/>
        <v>0</v>
      </c>
      <c r="AP24" s="250"/>
      <c r="AQ24" s="258"/>
      <c r="AR24" s="247">
        <f>E24*(J24+K24)/$A$5</f>
        <v>0</v>
      </c>
      <c r="AS24" s="247"/>
      <c r="AT24" s="247"/>
      <c r="AU24" s="247"/>
      <c r="AV24" s="261"/>
      <c r="AW24" s="253">
        <f t="shared" si="17"/>
        <v>9660000</v>
      </c>
      <c r="AX24" s="186">
        <f>ROUND(IF((AW24-AY24-AZ24-BA24-BM24)*0.5%&lt;234000,(AW24-AY24-AZ24-BA24-BM24)*0.5%,234000),-3)</f>
        <v>44000</v>
      </c>
      <c r="AY24" s="288">
        <v>516000</v>
      </c>
      <c r="AZ24" s="288">
        <v>105600</v>
      </c>
      <c r="BA24" s="288">
        <v>64500</v>
      </c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>
        <v>200000</v>
      </c>
      <c r="BN24" s="188">
        <f t="shared" si="7"/>
        <v>930100</v>
      </c>
      <c r="BO24" s="187"/>
      <c r="BP24" s="187"/>
      <c r="BQ24" s="188">
        <f t="shared" si="8"/>
        <v>8729900</v>
      </c>
      <c r="BR24" s="187">
        <v>100000</v>
      </c>
      <c r="BS24" s="187">
        <v>22</v>
      </c>
      <c r="BT24" s="187">
        <f t="shared" si="10"/>
        <v>726000</v>
      </c>
      <c r="BU24" s="188">
        <f t="shared" si="9"/>
        <v>9555900</v>
      </c>
      <c r="BV24" s="196"/>
    </row>
    <row r="25" spans="1:74" s="50" customFormat="1" ht="33.75" customHeight="1" x14ac:dyDescent="0.25">
      <c r="A25" s="35">
        <v>15</v>
      </c>
      <c r="B25" s="66" t="s">
        <v>48</v>
      </c>
      <c r="C25" s="65" t="s">
        <v>57</v>
      </c>
      <c r="D25" s="242">
        <v>8740000</v>
      </c>
      <c r="E25" s="242"/>
      <c r="F25" s="240">
        <v>6500000</v>
      </c>
      <c r="G25" s="239">
        <v>6140000</v>
      </c>
      <c r="H25" s="239"/>
      <c r="I25" s="241" t="s">
        <v>135</v>
      </c>
      <c r="J25" s="242">
        <v>22</v>
      </c>
      <c r="K25" s="242">
        <v>0</v>
      </c>
      <c r="L25" s="242">
        <v>0</v>
      </c>
      <c r="M25" s="242">
        <v>0</v>
      </c>
      <c r="N25" s="242"/>
      <c r="O25" s="242"/>
      <c r="P25" s="254">
        <v>9.75</v>
      </c>
      <c r="Q25" s="244"/>
      <c r="R25" s="244"/>
      <c r="S25" s="244">
        <v>0</v>
      </c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1">
        <f>ROUND(F25*(J25)/$A$5,-3)</f>
        <v>6500000</v>
      </c>
      <c r="AE25" s="246">
        <f>ROUND(IF(I25="A",(D25-F25)*(J25)/$A$5,IF(I25="B",(D25-F25)*0.5*(J25)/$A$5*$B$5,IF(I25="C",0))),-3)</f>
        <v>0</v>
      </c>
      <c r="AF25" s="247">
        <f t="shared" si="14"/>
        <v>0</v>
      </c>
      <c r="AG25" s="247"/>
      <c r="AH25" s="247">
        <f t="shared" si="5"/>
        <v>0</v>
      </c>
      <c r="AI25" s="247">
        <f>ROUND(G25*(L25)/$A$5,-3)</f>
        <v>0</v>
      </c>
      <c r="AJ25" s="247">
        <f t="shared" si="16"/>
        <v>0</v>
      </c>
      <c r="AK25" s="248">
        <f t="shared" si="18"/>
        <v>3081000</v>
      </c>
      <c r="AL25" s="249">
        <f>ROUND((X25*39000+Z25*39000+AB25*39000),-3)</f>
        <v>0</v>
      </c>
      <c r="AM25" s="249">
        <f>ROUND((AC25*52000+AA25*48600+Y25*52000),-3)</f>
        <v>0</v>
      </c>
      <c r="AN25" s="249">
        <f>ROUND((T25*39000+V25*39000),-3)</f>
        <v>0</v>
      </c>
      <c r="AO25" s="249">
        <f t="shared" si="4"/>
        <v>0</v>
      </c>
      <c r="AP25" s="250"/>
      <c r="AQ25" s="255"/>
      <c r="AR25" s="247">
        <f>E25*(J25+K25)/$A$5</f>
        <v>0</v>
      </c>
      <c r="AS25" s="247"/>
      <c r="AT25" s="247"/>
      <c r="AU25" s="247"/>
      <c r="AV25" s="261"/>
      <c r="AW25" s="253">
        <f t="shared" si="17"/>
        <v>9581000</v>
      </c>
      <c r="AX25" s="186">
        <f t="shared" si="11"/>
        <v>44000</v>
      </c>
      <c r="AY25" s="288">
        <v>491200</v>
      </c>
      <c r="AZ25" s="288">
        <v>100500</v>
      </c>
      <c r="BA25" s="288">
        <v>61400</v>
      </c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>
        <v>150000</v>
      </c>
      <c r="BN25" s="188">
        <f t="shared" si="7"/>
        <v>847100</v>
      </c>
      <c r="BO25" s="187"/>
      <c r="BP25" s="187"/>
      <c r="BQ25" s="188">
        <f t="shared" si="8"/>
        <v>8733900</v>
      </c>
      <c r="BR25" s="187">
        <v>100000</v>
      </c>
      <c r="BS25" s="187">
        <v>22</v>
      </c>
      <c r="BT25" s="187">
        <f t="shared" si="10"/>
        <v>726000</v>
      </c>
      <c r="BU25" s="188">
        <f t="shared" si="9"/>
        <v>9559900</v>
      </c>
      <c r="BV25" s="196"/>
    </row>
    <row r="26" spans="1:74" s="50" customFormat="1" ht="33.75" customHeight="1" x14ac:dyDescent="0.25">
      <c r="A26" s="263">
        <v>16</v>
      </c>
      <c r="B26" s="264" t="s">
        <v>55</v>
      </c>
      <c r="C26" s="265" t="s">
        <v>57</v>
      </c>
      <c r="D26" s="266">
        <v>8740000</v>
      </c>
      <c r="E26" s="266"/>
      <c r="F26" s="267">
        <v>6500000</v>
      </c>
      <c r="G26" s="268">
        <v>6140000</v>
      </c>
      <c r="H26" s="268"/>
      <c r="I26" s="269" t="s">
        <v>135</v>
      </c>
      <c r="J26" s="266">
        <v>22</v>
      </c>
      <c r="K26" s="266">
        <v>0</v>
      </c>
      <c r="L26" s="266">
        <v>0</v>
      </c>
      <c r="M26" s="266">
        <v>0</v>
      </c>
      <c r="N26" s="266"/>
      <c r="O26" s="266">
        <v>0</v>
      </c>
      <c r="P26" s="270">
        <v>9.75</v>
      </c>
      <c r="Q26" s="271"/>
      <c r="R26" s="271"/>
      <c r="S26" s="271">
        <v>0</v>
      </c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69">
        <f>ROUND(F26*(J26)/$A$5,-3)</f>
        <v>6500000</v>
      </c>
      <c r="AE26" s="273">
        <f>ROUND(IF(I26="A",(D26-F26)*(J26)/$A$5,IF(I26="B",(D26-F26)*0.5*(J26)/$A$5*$B$5,IF(I26="C",0))),-3)</f>
        <v>0</v>
      </c>
      <c r="AF26" s="274">
        <f t="shared" si="14"/>
        <v>0</v>
      </c>
      <c r="AG26" s="274"/>
      <c r="AH26" s="274">
        <f t="shared" si="5"/>
        <v>0</v>
      </c>
      <c r="AI26" s="274">
        <f>ROUND(G26*(L26)/$A$5,-3)</f>
        <v>0</v>
      </c>
      <c r="AJ26" s="274">
        <f t="shared" si="16"/>
        <v>0</v>
      </c>
      <c r="AK26" s="275">
        <f t="shared" si="18"/>
        <v>3081000</v>
      </c>
      <c r="AL26" s="276">
        <f>ROUND((X26*39000+Z26*39000+AB26*39000),-3)</f>
        <v>0</v>
      </c>
      <c r="AM26" s="276">
        <f>ROUND((AC26*52000+AA26*48600+Y26*52000),-3)</f>
        <v>0</v>
      </c>
      <c r="AN26" s="276">
        <f>ROUND((T26*39000+V26*39000),-3)</f>
        <v>0</v>
      </c>
      <c r="AO26" s="276">
        <f t="shared" si="4"/>
        <v>0</v>
      </c>
      <c r="AP26" s="277"/>
      <c r="AQ26" s="278"/>
      <c r="AR26" s="274">
        <f>E26*(J26+K26)/$A$5</f>
        <v>0</v>
      </c>
      <c r="AS26" s="269"/>
      <c r="AT26" s="269"/>
      <c r="AU26" s="269"/>
      <c r="AV26" s="279"/>
      <c r="AW26" s="280">
        <f t="shared" si="17"/>
        <v>9581000</v>
      </c>
      <c r="AX26" s="221">
        <f t="shared" si="11"/>
        <v>44000</v>
      </c>
      <c r="AY26" s="289">
        <v>491200</v>
      </c>
      <c r="AZ26" s="289">
        <v>100500</v>
      </c>
      <c r="BA26" s="289">
        <v>61400</v>
      </c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>
        <v>120000</v>
      </c>
      <c r="BN26" s="223">
        <f t="shared" si="7"/>
        <v>817100</v>
      </c>
      <c r="BO26" s="222"/>
      <c r="BP26" s="222"/>
      <c r="BQ26" s="223">
        <f t="shared" si="8"/>
        <v>8763900</v>
      </c>
      <c r="BR26" s="222">
        <v>100000</v>
      </c>
      <c r="BS26" s="222">
        <v>22</v>
      </c>
      <c r="BT26" s="222">
        <f t="shared" si="10"/>
        <v>726000</v>
      </c>
      <c r="BU26" s="223">
        <f t="shared" si="9"/>
        <v>9589900</v>
      </c>
      <c r="BV26" s="196"/>
    </row>
    <row r="27" spans="1:74" s="52" customFormat="1" ht="33.75" customHeight="1" x14ac:dyDescent="0.25">
      <c r="A27" s="36"/>
      <c r="B27" s="36" t="s">
        <v>29</v>
      </c>
      <c r="C27" s="36"/>
      <c r="D27" s="3">
        <f t="shared" ref="D27:AI27" si="19">SUM(D11:D26)</f>
        <v>215260000</v>
      </c>
      <c r="E27" s="3">
        <f t="shared" si="19"/>
        <v>1470000</v>
      </c>
      <c r="F27" s="3">
        <f t="shared" si="19"/>
        <v>104000000</v>
      </c>
      <c r="G27" s="3">
        <f t="shared" si="19"/>
        <v>115510000</v>
      </c>
      <c r="H27" s="3">
        <f t="shared" si="19"/>
        <v>1470000</v>
      </c>
      <c r="I27" s="3">
        <f t="shared" si="19"/>
        <v>0</v>
      </c>
      <c r="J27" s="3">
        <f t="shared" si="19"/>
        <v>347.5</v>
      </c>
      <c r="K27" s="3">
        <f t="shared" si="19"/>
        <v>0</v>
      </c>
      <c r="L27" s="3">
        <f t="shared" si="19"/>
        <v>0</v>
      </c>
      <c r="M27" s="3">
        <f t="shared" si="19"/>
        <v>0</v>
      </c>
      <c r="N27" s="3">
        <f t="shared" si="19"/>
        <v>0</v>
      </c>
      <c r="O27" s="3">
        <f t="shared" si="19"/>
        <v>0</v>
      </c>
      <c r="P27" s="3">
        <f t="shared" si="19"/>
        <v>69.25</v>
      </c>
      <c r="Q27" s="3">
        <f t="shared" si="19"/>
        <v>0</v>
      </c>
      <c r="R27" s="3">
        <f t="shared" si="19"/>
        <v>0</v>
      </c>
      <c r="S27" s="281">
        <f t="shared" si="19"/>
        <v>4.5</v>
      </c>
      <c r="T27" s="3">
        <f t="shared" si="19"/>
        <v>0</v>
      </c>
      <c r="U27" s="3">
        <f t="shared" si="19"/>
        <v>0</v>
      </c>
      <c r="V27" s="3">
        <f t="shared" si="19"/>
        <v>0</v>
      </c>
      <c r="W27" s="3">
        <f t="shared" si="19"/>
        <v>0</v>
      </c>
      <c r="X27" s="281">
        <f t="shared" si="19"/>
        <v>49.4</v>
      </c>
      <c r="Y27" s="3">
        <f t="shared" si="19"/>
        <v>0</v>
      </c>
      <c r="Z27" s="281">
        <f t="shared" si="19"/>
        <v>157.31666666666666</v>
      </c>
      <c r="AA27" s="3">
        <f t="shared" si="19"/>
        <v>0</v>
      </c>
      <c r="AB27" s="281">
        <f t="shared" si="19"/>
        <v>361.86666666666667</v>
      </c>
      <c r="AC27" s="3">
        <f t="shared" si="19"/>
        <v>0</v>
      </c>
      <c r="AD27" s="3">
        <f t="shared" si="19"/>
        <v>91170000</v>
      </c>
      <c r="AE27" s="3">
        <f t="shared" si="19"/>
        <v>24134000</v>
      </c>
      <c r="AF27" s="3">
        <f t="shared" si="19"/>
        <v>0</v>
      </c>
      <c r="AG27" s="3">
        <f t="shared" si="19"/>
        <v>0</v>
      </c>
      <c r="AH27" s="3">
        <f t="shared" si="19"/>
        <v>0</v>
      </c>
      <c r="AI27" s="3">
        <f t="shared" si="19"/>
        <v>0</v>
      </c>
      <c r="AJ27" s="3">
        <f t="shared" ref="AJ27:BU27" si="20">SUM(AJ11:AJ26)</f>
        <v>0</v>
      </c>
      <c r="AK27" s="3">
        <f t="shared" si="20"/>
        <v>21883000</v>
      </c>
      <c r="AL27" s="3">
        <f t="shared" si="20"/>
        <v>24449000</v>
      </c>
      <c r="AM27" s="3">
        <f t="shared" si="20"/>
        <v>0</v>
      </c>
      <c r="AN27" s="3">
        <f t="shared" si="20"/>
        <v>0</v>
      </c>
      <c r="AO27" s="3">
        <f t="shared" si="20"/>
        <v>0</v>
      </c>
      <c r="AP27" s="3">
        <f t="shared" si="20"/>
        <v>0</v>
      </c>
      <c r="AQ27" s="3">
        <f t="shared" si="20"/>
        <v>1470000</v>
      </c>
      <c r="AR27" s="3">
        <f t="shared" si="20"/>
        <v>0</v>
      </c>
      <c r="AS27" s="3">
        <f t="shared" si="20"/>
        <v>0</v>
      </c>
      <c r="AT27" s="3">
        <f t="shared" si="20"/>
        <v>0</v>
      </c>
      <c r="AU27" s="3">
        <f t="shared" si="20"/>
        <v>0</v>
      </c>
      <c r="AV27" s="3">
        <f t="shared" si="20"/>
        <v>0</v>
      </c>
      <c r="AW27" s="3">
        <f t="shared" si="20"/>
        <v>163106000</v>
      </c>
      <c r="AX27" s="3">
        <f t="shared" si="20"/>
        <v>746000</v>
      </c>
      <c r="AY27" s="3">
        <f t="shared" si="20"/>
        <v>9358400</v>
      </c>
      <c r="AZ27" s="3">
        <f t="shared" si="20"/>
        <v>1912200</v>
      </c>
      <c r="BA27" s="3">
        <f t="shared" si="20"/>
        <v>1169800</v>
      </c>
      <c r="BB27" s="3">
        <f t="shared" si="20"/>
        <v>0</v>
      </c>
      <c r="BC27" s="3">
        <f t="shared" si="20"/>
        <v>0</v>
      </c>
      <c r="BD27" s="3">
        <f t="shared" si="20"/>
        <v>0</v>
      </c>
      <c r="BE27" s="3">
        <f t="shared" si="20"/>
        <v>0</v>
      </c>
      <c r="BF27" s="3">
        <f t="shared" si="20"/>
        <v>0</v>
      </c>
      <c r="BG27" s="3">
        <f t="shared" si="20"/>
        <v>0</v>
      </c>
      <c r="BH27" s="3">
        <f t="shared" si="20"/>
        <v>0</v>
      </c>
      <c r="BI27" s="3">
        <f t="shared" si="20"/>
        <v>0</v>
      </c>
      <c r="BJ27" s="3">
        <f t="shared" si="20"/>
        <v>2022000</v>
      </c>
      <c r="BK27" s="3">
        <f t="shared" si="20"/>
        <v>0</v>
      </c>
      <c r="BL27" s="3">
        <f t="shared" si="20"/>
        <v>0</v>
      </c>
      <c r="BM27" s="3">
        <f t="shared" si="20"/>
        <v>1320000</v>
      </c>
      <c r="BN27" s="3">
        <f t="shared" si="20"/>
        <v>16528400</v>
      </c>
      <c r="BO27" s="3">
        <f t="shared" si="20"/>
        <v>0</v>
      </c>
      <c r="BP27" s="3">
        <f t="shared" si="20"/>
        <v>160000</v>
      </c>
      <c r="BQ27" s="3">
        <f t="shared" si="20"/>
        <v>146737600</v>
      </c>
      <c r="BR27" s="3">
        <f t="shared" si="20"/>
        <v>1600000</v>
      </c>
      <c r="BS27" s="3">
        <f t="shared" si="20"/>
        <v>348</v>
      </c>
      <c r="BT27" s="3">
        <f t="shared" si="20"/>
        <v>11484000</v>
      </c>
      <c r="BU27" s="3">
        <f t="shared" si="20"/>
        <v>159821600</v>
      </c>
      <c r="BV27" s="166"/>
    </row>
    <row r="28" spans="1:74" ht="1.9" customHeight="1" x14ac:dyDescent="0.25">
      <c r="A28" s="13"/>
      <c r="B28" s="13"/>
      <c r="C28" s="13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47"/>
      <c r="BJ28" s="17"/>
      <c r="BK28" s="17"/>
      <c r="BL28" s="17"/>
      <c r="BM28" s="17"/>
      <c r="BN28" s="17"/>
      <c r="BO28" s="17"/>
      <c r="BP28" s="17"/>
      <c r="BQ28" s="147"/>
      <c r="BR28" s="17"/>
      <c r="BS28" s="17"/>
      <c r="BT28" s="17"/>
      <c r="BU28" s="17"/>
    </row>
    <row r="29" spans="1:74" ht="18" hidden="1" customHeight="1" x14ac:dyDescent="0.25">
      <c r="A29" s="282"/>
      <c r="B29" s="12"/>
      <c r="C29" s="12"/>
      <c r="D29" s="5"/>
      <c r="E29" s="5"/>
      <c r="F29" s="5"/>
      <c r="G29" s="5"/>
      <c r="H29" s="5"/>
      <c r="I29" s="9"/>
      <c r="J29" s="283"/>
      <c r="K29" s="1"/>
      <c r="L29" s="1"/>
      <c r="M29" s="1"/>
      <c r="N29" s="1"/>
      <c r="O29" s="1"/>
      <c r="P29" s="388" t="s">
        <v>137</v>
      </c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5"/>
      <c r="AE29" s="5"/>
      <c r="AF29" s="284"/>
      <c r="AG29" s="284"/>
      <c r="AH29" s="284"/>
      <c r="AI29" s="284"/>
      <c r="AJ29" s="284"/>
      <c r="AK29" s="228"/>
      <c r="AL29" s="5"/>
      <c r="AM29" s="5"/>
      <c r="AN29" s="5"/>
      <c r="AO29" s="285"/>
      <c r="AP29" s="285"/>
      <c r="AQ29" s="285"/>
      <c r="AR29" s="285"/>
      <c r="AW29" s="389" t="s">
        <v>138</v>
      </c>
      <c r="AX29" s="389"/>
      <c r="AY29" s="389"/>
      <c r="AZ29" s="389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4">
        <f>BQ27+BN27-BO27</f>
        <v>163266000</v>
      </c>
      <c r="BR29" s="153"/>
      <c r="BS29" s="153"/>
      <c r="BT29" s="153"/>
      <c r="BU29" s="154">
        <f>BU27-BT27-BQ27</f>
        <v>1600000</v>
      </c>
    </row>
    <row r="30" spans="1:74" ht="19.149999999999999" hidden="1" customHeight="1" x14ac:dyDescent="0.25">
      <c r="A30" s="384" t="s">
        <v>139</v>
      </c>
      <c r="B30" s="384"/>
      <c r="C30" s="384"/>
      <c r="D30" s="384"/>
      <c r="E30" s="384"/>
      <c r="F30" s="384"/>
      <c r="G30" s="384" t="s">
        <v>140</v>
      </c>
      <c r="H30" s="384"/>
      <c r="I30" s="384"/>
      <c r="J30" s="5"/>
      <c r="K30" s="5"/>
      <c r="L30" s="5"/>
      <c r="M30" s="5"/>
      <c r="N30" s="5"/>
      <c r="O30" s="5"/>
      <c r="P30" s="1"/>
      <c r="Q30" s="12"/>
      <c r="R30" s="12"/>
      <c r="S30" s="12" t="s">
        <v>141</v>
      </c>
      <c r="T30" s="12"/>
      <c r="U30" s="12"/>
      <c r="V30" s="12"/>
      <c r="W30" s="12"/>
      <c r="X30" s="12"/>
      <c r="Y30" s="12"/>
      <c r="Z30" s="12"/>
      <c r="AA30" s="12"/>
      <c r="AB30" s="5"/>
      <c r="AC30" s="5"/>
      <c r="AD30" s="385" t="s">
        <v>142</v>
      </c>
      <c r="AE30" s="385"/>
      <c r="AF30" s="385"/>
      <c r="AG30" s="385"/>
      <c r="AH30" s="385"/>
      <c r="AI30" s="385"/>
      <c r="AJ30" s="385"/>
      <c r="AK30" s="5"/>
      <c r="AL30" s="384" t="s">
        <v>143</v>
      </c>
      <c r="AM30" s="384"/>
      <c r="AN30" s="384"/>
      <c r="AO30" s="384"/>
      <c r="AP30" s="384"/>
      <c r="AQ30" s="384"/>
      <c r="AR30" s="12"/>
      <c r="AS30" s="12"/>
      <c r="AT30" s="12"/>
      <c r="AU30" s="12"/>
      <c r="AV30" s="12"/>
    </row>
    <row r="31" spans="1:74" ht="16.149999999999999" hidden="1" customHeight="1" x14ac:dyDescent="0.25">
      <c r="A31" s="1"/>
      <c r="B31" s="5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2"/>
      <c r="R31" s="12"/>
      <c r="S31" s="12" t="s">
        <v>144</v>
      </c>
      <c r="T31" s="12"/>
      <c r="U31" s="12"/>
      <c r="V31" s="12"/>
      <c r="W31" s="12"/>
      <c r="X31" s="12"/>
      <c r="Y31" s="12"/>
      <c r="Z31" s="12"/>
      <c r="AA31" s="12"/>
      <c r="AB31" s="1"/>
      <c r="AC31" s="1"/>
      <c r="AD31" s="5"/>
      <c r="AE31" s="5"/>
      <c r="AF31" s="284"/>
      <c r="AG31" s="284"/>
      <c r="AH31" s="284"/>
      <c r="AI31" s="284"/>
      <c r="AJ31" s="284"/>
      <c r="AK31" s="228"/>
      <c r="AL31" s="5"/>
      <c r="AM31" s="5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74" ht="7.35" hidden="1" customHeight="1" x14ac:dyDescent="0.25">
      <c r="A32" s="1"/>
      <c r="B32" s="5"/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5"/>
      <c r="R32" s="5"/>
      <c r="S32" s="5"/>
      <c r="T32" s="5"/>
      <c r="U32" s="5"/>
      <c r="V32" s="5"/>
      <c r="W32" s="5"/>
      <c r="X32" s="5"/>
      <c r="Y32" s="1"/>
      <c r="Z32" s="5"/>
      <c r="AA32" s="5"/>
      <c r="AB32" s="1"/>
      <c r="AC32" s="1"/>
      <c r="AD32" s="5"/>
      <c r="AE32" s="5"/>
      <c r="AF32" s="284"/>
      <c r="AG32" s="284"/>
      <c r="AH32" s="284"/>
      <c r="AI32" s="284"/>
      <c r="AJ32" s="284"/>
      <c r="AK32" s="228"/>
      <c r="AL32" s="5"/>
      <c r="AM32" s="5"/>
      <c r="AN32" s="5"/>
      <c r="AO32" s="5"/>
      <c r="AP32" s="5"/>
      <c r="AQ32" s="11"/>
      <c r="AR32" s="5"/>
      <c r="AS32" s="5"/>
      <c r="AT32" s="5"/>
      <c r="AU32" s="5"/>
      <c r="AV32" s="5"/>
    </row>
    <row r="33" spans="1:74" ht="11.45" hidden="1" customHeight="1" x14ac:dyDescent="0.25">
      <c r="A33" s="1"/>
      <c r="B33" s="5"/>
      <c r="C33" s="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5"/>
      <c r="R33" s="5"/>
      <c r="S33" s="5"/>
      <c r="T33" s="5"/>
      <c r="U33" s="5"/>
      <c r="V33" s="5"/>
      <c r="W33" s="5"/>
      <c r="X33" s="5"/>
      <c r="Y33" s="1"/>
      <c r="Z33" s="5"/>
      <c r="AA33" s="5"/>
      <c r="AB33" s="1"/>
      <c r="AC33" s="1"/>
      <c r="AD33" s="5"/>
      <c r="AE33" s="5"/>
      <c r="AF33" s="284"/>
      <c r="AG33" s="284"/>
      <c r="AH33" s="284"/>
      <c r="AI33" s="284"/>
      <c r="AJ33" s="284"/>
      <c r="AK33" s="228"/>
      <c r="AL33" s="5"/>
      <c r="AM33" s="5"/>
      <c r="AN33" s="5"/>
      <c r="AO33" s="5"/>
      <c r="AP33" s="5"/>
      <c r="AQ33" s="11"/>
      <c r="AR33" s="5"/>
      <c r="AS33" s="5"/>
      <c r="AT33" s="5"/>
      <c r="AU33" s="5"/>
      <c r="AV33" s="5"/>
    </row>
    <row r="34" spans="1:74" ht="6" hidden="1" customHeight="1" x14ac:dyDescent="0.25">
      <c r="A34" s="1"/>
      <c r="B34" s="5"/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5"/>
      <c r="R34" s="5"/>
      <c r="S34" s="5"/>
      <c r="T34" s="5"/>
      <c r="U34" s="5"/>
      <c r="V34" s="5"/>
      <c r="W34" s="5"/>
      <c r="X34" s="5"/>
      <c r="Y34" s="1"/>
      <c r="Z34" s="5"/>
      <c r="AA34" s="5"/>
      <c r="AB34" s="1"/>
      <c r="AC34" s="1"/>
      <c r="AD34" s="5"/>
      <c r="AE34" s="5"/>
      <c r="AF34" s="284"/>
      <c r="AG34" s="284"/>
      <c r="AH34" s="284"/>
      <c r="AI34" s="284"/>
      <c r="AJ34" s="284"/>
      <c r="AK34" s="228"/>
      <c r="AL34" s="5"/>
      <c r="AM34" s="5"/>
      <c r="AN34" s="5"/>
      <c r="AO34" s="5"/>
      <c r="AP34" s="5"/>
      <c r="AQ34" s="11"/>
      <c r="AR34" s="5"/>
      <c r="AS34" s="5"/>
      <c r="AT34" s="5"/>
      <c r="AU34" s="5"/>
      <c r="AV34" s="5"/>
    </row>
    <row r="35" spans="1:74" ht="19.149999999999999" hidden="1" customHeight="1" x14ac:dyDescent="0.25">
      <c r="A35" s="1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5"/>
      <c r="R35" s="5"/>
      <c r="S35" s="5"/>
      <c r="T35" s="5"/>
      <c r="U35" s="5"/>
      <c r="V35" s="5"/>
      <c r="W35" s="5"/>
      <c r="X35" s="5"/>
      <c r="Y35" s="1"/>
      <c r="Z35" s="5"/>
      <c r="AA35" s="5"/>
      <c r="AB35" s="1"/>
      <c r="AC35" s="1"/>
      <c r="AD35" s="9"/>
      <c r="AE35" s="5"/>
      <c r="AF35" s="284"/>
      <c r="AG35" s="284"/>
      <c r="AH35" s="284"/>
      <c r="AI35" s="284"/>
      <c r="AJ35" s="284"/>
      <c r="AK35" s="228"/>
      <c r="AL35" s="5"/>
      <c r="AM35" s="5"/>
      <c r="AN35" s="5"/>
      <c r="AO35" s="5"/>
      <c r="AP35" s="5"/>
      <c r="AQ35" s="11"/>
      <c r="AR35" s="5"/>
      <c r="AS35" s="5"/>
      <c r="AT35" s="5"/>
      <c r="AU35" s="5"/>
      <c r="AV35" s="5"/>
    </row>
    <row r="36" spans="1:74" ht="15.6" hidden="1" customHeight="1" x14ac:dyDescent="0.25">
      <c r="A36" s="1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5"/>
      <c r="R36" s="5"/>
      <c r="S36" s="5"/>
      <c r="T36" s="5"/>
      <c r="U36" s="5"/>
      <c r="V36" s="5"/>
      <c r="W36" s="5"/>
      <c r="X36" s="5"/>
      <c r="Y36" s="1"/>
      <c r="Z36" s="5"/>
      <c r="AA36" s="5"/>
      <c r="AB36" s="1"/>
      <c r="AC36" s="1"/>
      <c r="AD36" s="5"/>
      <c r="AE36" s="5"/>
      <c r="AF36" s="284"/>
      <c r="AG36" s="284"/>
      <c r="AH36" s="284"/>
      <c r="AI36" s="284"/>
      <c r="AJ36" s="284"/>
      <c r="AK36" s="228"/>
      <c r="AL36" s="5"/>
      <c r="AM36" s="5"/>
      <c r="AN36" s="5"/>
      <c r="AO36" s="5"/>
      <c r="AP36" s="5"/>
      <c r="AQ36" s="11"/>
      <c r="AR36" s="5"/>
      <c r="AS36" s="5"/>
      <c r="AT36" s="5"/>
      <c r="AU36" s="5"/>
      <c r="AV36" s="5"/>
    </row>
    <row r="37" spans="1:74" ht="7.9" hidden="1" customHeight="1" x14ac:dyDescent="0.25">
      <c r="A37" s="12"/>
      <c r="B37" s="5"/>
      <c r="C37" s="5"/>
      <c r="D37" s="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3"/>
      <c r="R37" s="13"/>
      <c r="S37" s="13"/>
      <c r="T37" s="5"/>
      <c r="U37" s="12"/>
      <c r="V37" s="12"/>
      <c r="W37" s="12"/>
      <c r="X37" s="12"/>
      <c r="Y37" s="1"/>
      <c r="Z37" s="12"/>
      <c r="AA37" s="12"/>
      <c r="AB37" s="1"/>
      <c r="AC37" s="1"/>
      <c r="AD37" s="12"/>
      <c r="AE37" s="12"/>
      <c r="AF37" s="284"/>
      <c r="AG37" s="284"/>
      <c r="AH37" s="284"/>
      <c r="AI37" s="284"/>
      <c r="AJ37" s="284"/>
      <c r="AK37" s="12"/>
      <c r="AL37" s="5"/>
      <c r="AM37" s="5"/>
      <c r="AN37" s="13"/>
      <c r="AO37" s="13"/>
      <c r="AP37" s="13"/>
      <c r="AQ37" s="230"/>
      <c r="AR37" s="5"/>
      <c r="AS37" s="12"/>
      <c r="AT37" s="12"/>
      <c r="AU37" s="12"/>
      <c r="AV37" s="12"/>
    </row>
    <row r="38" spans="1:74" ht="21" hidden="1" customHeight="1" x14ac:dyDescent="0.25">
      <c r="A38" s="384" t="s">
        <v>145</v>
      </c>
      <c r="B38" s="384"/>
      <c r="C38" s="384"/>
      <c r="D38" s="384"/>
      <c r="E38" s="384"/>
      <c r="F38" s="384"/>
      <c r="G38" s="384" t="s">
        <v>146</v>
      </c>
      <c r="H38" s="384"/>
      <c r="I38" s="384"/>
      <c r="J38" s="12"/>
      <c r="K38" s="12"/>
      <c r="L38" s="12"/>
      <c r="M38" s="12"/>
      <c r="N38" s="12"/>
      <c r="O38" s="12"/>
      <c r="P38" s="1"/>
      <c r="Q38" s="12"/>
      <c r="R38" s="12"/>
      <c r="S38" s="12" t="s">
        <v>147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385" t="s">
        <v>148</v>
      </c>
      <c r="AE38" s="385"/>
      <c r="AF38" s="385"/>
      <c r="AG38" s="385"/>
      <c r="AH38" s="385"/>
      <c r="AI38" s="385"/>
      <c r="AJ38" s="385"/>
      <c r="AK38" s="228"/>
      <c r="AL38" s="384" t="s">
        <v>146</v>
      </c>
      <c r="AM38" s="384"/>
      <c r="AN38" s="384"/>
      <c r="AO38" s="384"/>
      <c r="AP38" s="384"/>
      <c r="AQ38" s="384"/>
      <c r="AR38" s="12"/>
      <c r="AS38" s="12"/>
      <c r="AT38" s="12"/>
      <c r="AU38" s="12"/>
      <c r="AV38" s="12"/>
    </row>
    <row r="40" spans="1:74" x14ac:dyDescent="0.25">
      <c r="BV40" s="58"/>
    </row>
    <row r="41" spans="1:74" x14ac:dyDescent="0.25">
      <c r="BV41" s="58"/>
    </row>
    <row r="42" spans="1:74" x14ac:dyDescent="0.25">
      <c r="BV42" s="58"/>
    </row>
    <row r="43" spans="1:74" x14ac:dyDescent="0.25">
      <c r="BV43" s="58"/>
    </row>
    <row r="44" spans="1:74" x14ac:dyDescent="0.25">
      <c r="BV44" s="58"/>
    </row>
    <row r="45" spans="1:74" x14ac:dyDescent="0.25">
      <c r="BV45" s="58"/>
    </row>
    <row r="46" spans="1:74" x14ac:dyDescent="0.25">
      <c r="BV46" s="58"/>
    </row>
    <row r="47" spans="1:74" x14ac:dyDescent="0.25">
      <c r="BV47" s="58"/>
    </row>
    <row r="48" spans="1:74" x14ac:dyDescent="0.25">
      <c r="BV48" s="58"/>
    </row>
  </sheetData>
  <mergeCells count="89">
    <mergeCell ref="BS6:BS9"/>
    <mergeCell ref="BT6:BT9"/>
    <mergeCell ref="BU6:BU9"/>
    <mergeCell ref="BA7:BA9"/>
    <mergeCell ref="BB7:BB9"/>
    <mergeCell ref="BC7:BC9"/>
    <mergeCell ref="BD7:BD9"/>
    <mergeCell ref="BE7:BE9"/>
    <mergeCell ref="BF7:BF9"/>
    <mergeCell ref="BQ6:BQ9"/>
    <mergeCell ref="BK7:BK9"/>
    <mergeCell ref="BL7:BL9"/>
    <mergeCell ref="BM7:BM9"/>
    <mergeCell ref="BN7:BN9"/>
    <mergeCell ref="BR6:BR9"/>
    <mergeCell ref="A3:S3"/>
    <mergeCell ref="A4:S4"/>
    <mergeCell ref="AX6:BN6"/>
    <mergeCell ref="BO6:BO9"/>
    <mergeCell ref="BP6:BP9"/>
    <mergeCell ref="BG7:BG9"/>
    <mergeCell ref="BH7:BH9"/>
    <mergeCell ref="BI7:BI9"/>
    <mergeCell ref="BJ7:BJ9"/>
    <mergeCell ref="AU8:AU9"/>
    <mergeCell ref="AV8:AV9"/>
    <mergeCell ref="AL8:AM8"/>
    <mergeCell ref="AN8:AO8"/>
    <mergeCell ref="AQ8:AQ9"/>
    <mergeCell ref="AR8:AR9"/>
    <mergeCell ref="AS8:AS9"/>
    <mergeCell ref="A38:C38"/>
    <mergeCell ref="D38:F38"/>
    <mergeCell ref="G38:I38"/>
    <mergeCell ref="AD38:AJ38"/>
    <mergeCell ref="AL38:AQ38"/>
    <mergeCell ref="P29:AC29"/>
    <mergeCell ref="AW29:AZ29"/>
    <mergeCell ref="A30:C30"/>
    <mergeCell ref="D30:F30"/>
    <mergeCell ref="G30:I30"/>
    <mergeCell ref="AD30:AJ30"/>
    <mergeCell ref="AL30:AQ30"/>
    <mergeCell ref="AB8:AC8"/>
    <mergeCell ref="AD8:AD9"/>
    <mergeCell ref="AT8:AT9"/>
    <mergeCell ref="AF8:AF9"/>
    <mergeCell ref="AG8:AG9"/>
    <mergeCell ref="AH8:AH9"/>
    <mergeCell ref="AI8:AI9"/>
    <mergeCell ref="AJ8:AJ9"/>
    <mergeCell ref="AK8:AK9"/>
    <mergeCell ref="S8:S9"/>
    <mergeCell ref="T8:U8"/>
    <mergeCell ref="V8:W8"/>
    <mergeCell ref="X8:Y8"/>
    <mergeCell ref="Z8:AA8"/>
    <mergeCell ref="AQ7:AV7"/>
    <mergeCell ref="AX7:AX9"/>
    <mergeCell ref="AY7:AY9"/>
    <mergeCell ref="AZ7:AZ9"/>
    <mergeCell ref="G8:G9"/>
    <mergeCell ref="H8:H9"/>
    <mergeCell ref="J8:J9"/>
    <mergeCell ref="K8:K9"/>
    <mergeCell ref="L8:L9"/>
    <mergeCell ref="M8:M9"/>
    <mergeCell ref="J6:Q7"/>
    <mergeCell ref="R6:S7"/>
    <mergeCell ref="T6:AC6"/>
    <mergeCell ref="AD6:AV6"/>
    <mergeCell ref="AW6:AW9"/>
    <mergeCell ref="T7:W7"/>
    <mergeCell ref="X7:AC7"/>
    <mergeCell ref="AD7:AN7"/>
    <mergeCell ref="AP7:AP9"/>
    <mergeCell ref="A6:A9"/>
    <mergeCell ref="B6:B9"/>
    <mergeCell ref="C6:C9"/>
    <mergeCell ref="D6:D9"/>
    <mergeCell ref="E6:E9"/>
    <mergeCell ref="F6:F9"/>
    <mergeCell ref="G6:H7"/>
    <mergeCell ref="I6:I9"/>
    <mergeCell ref="AE8:AE9"/>
    <mergeCell ref="N8:N9"/>
    <mergeCell ref="O8:O9"/>
    <mergeCell ref="P8:Q8"/>
    <mergeCell ref="R8:R9"/>
  </mergeCells>
  <pageMargins left="0.25" right="0.25" top="0.75" bottom="0.75" header="0.3" footer="0.3"/>
  <pageSetup paperSize="8" scale="5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16FF-8F58-4B46-BFBC-E7B731FE1E20}">
  <sheetPr>
    <pageSetUpPr fitToPage="1"/>
  </sheetPr>
  <dimension ref="A1:BV64"/>
  <sheetViews>
    <sheetView workbookViewId="0">
      <pane xSplit="3" ySplit="9" topLeftCell="AQ16" activePane="bottomRight" state="frozen"/>
      <selection activeCell="BJ16" sqref="BJ16"/>
      <selection pane="topRight" activeCell="BJ16" sqref="BJ16"/>
      <selection pane="bottomLeft" activeCell="BJ16" sqref="BJ16"/>
      <selection pane="bottomRight" activeCell="BJ16" sqref="BJ16"/>
    </sheetView>
  </sheetViews>
  <sheetFormatPr defaultColWidth="5.7109375" defaultRowHeight="15.75" x14ac:dyDescent="0.25"/>
  <cols>
    <col min="1" max="1" width="5.28515625" style="53" customWidth="1"/>
    <col min="2" max="2" width="21.5703125" style="47" customWidth="1"/>
    <col min="3" max="3" width="10.28515625" style="47" customWidth="1"/>
    <col min="4" max="4" width="12.28515625" style="47" customWidth="1"/>
    <col min="5" max="5" width="10.7109375" style="47" customWidth="1"/>
    <col min="6" max="6" width="13.140625" style="47" customWidth="1"/>
    <col min="7" max="7" width="16.7109375" style="47" customWidth="1"/>
    <col min="8" max="8" width="10.140625" style="47" customWidth="1"/>
    <col min="9" max="9" width="6.140625" style="54" customWidth="1"/>
    <col min="10" max="10" width="6.7109375" style="53" customWidth="1"/>
    <col min="11" max="11" width="8.28515625" style="53" customWidth="1"/>
    <col min="12" max="12" width="11.5703125" style="53" hidden="1" customWidth="1"/>
    <col min="13" max="13" width="9.85546875" style="53" hidden="1" customWidth="1"/>
    <col min="14" max="14" width="8.140625" style="53" hidden="1" customWidth="1"/>
    <col min="15" max="15" width="7.42578125" style="53" hidden="1" customWidth="1"/>
    <col min="16" max="16" width="9.7109375" style="53" customWidth="1"/>
    <col min="17" max="18" width="16" style="53" hidden="1" customWidth="1"/>
    <col min="19" max="19" width="9.85546875" style="53" customWidth="1"/>
    <col min="20" max="20" width="8.42578125" style="55" hidden="1" customWidth="1"/>
    <col min="21" max="21" width="10.7109375" style="55" hidden="1" customWidth="1"/>
    <col min="22" max="22" width="7.28515625" style="55" hidden="1" customWidth="1"/>
    <col min="23" max="23" width="10.7109375" style="55" hidden="1" customWidth="1"/>
    <col min="24" max="24" width="8.28515625" style="55" customWidth="1"/>
    <col min="25" max="25" width="10.7109375" style="55" hidden="1" customWidth="1"/>
    <col min="26" max="26" width="9.28515625" style="55" customWidth="1"/>
    <col min="27" max="27" width="12.5703125" style="55" hidden="1" customWidth="1"/>
    <col min="28" max="28" width="8.28515625" style="55" customWidth="1"/>
    <col min="29" max="29" width="8.140625" style="55" customWidth="1"/>
    <col min="30" max="30" width="13.28515625" style="47" customWidth="1"/>
    <col min="31" max="31" width="12.28515625" style="47" customWidth="1"/>
    <col min="32" max="32" width="10.85546875" style="47" customWidth="1"/>
    <col min="33" max="34" width="16" style="47" hidden="1" customWidth="1"/>
    <col min="35" max="35" width="10.28515625" style="47" hidden="1" customWidth="1"/>
    <col min="36" max="36" width="15.5703125" style="47" hidden="1" customWidth="1"/>
    <col min="37" max="37" width="13.5703125" style="56" customWidth="1"/>
    <col min="38" max="38" width="11.28515625" style="47" customWidth="1"/>
    <col min="39" max="39" width="11.5703125" style="47" customWidth="1"/>
    <col min="40" max="40" width="11.5703125" style="47" hidden="1" customWidth="1"/>
    <col min="41" max="41" width="16" style="47" hidden="1" customWidth="1"/>
    <col min="42" max="42" width="12.140625" style="47" hidden="1" customWidth="1"/>
    <col min="43" max="43" width="10.7109375" style="57" customWidth="1"/>
    <col min="44" max="44" width="16" style="47" hidden="1" customWidth="1"/>
    <col min="45" max="45" width="14.7109375" style="47" hidden="1" customWidth="1"/>
    <col min="46" max="46" width="10.140625" style="47" hidden="1" customWidth="1"/>
    <col min="47" max="47" width="16" style="47" hidden="1" customWidth="1"/>
    <col min="48" max="48" width="11.7109375" style="47" hidden="1" customWidth="1"/>
    <col min="49" max="49" width="13.140625" style="53" customWidth="1"/>
    <col min="50" max="50" width="10.85546875" style="2" customWidth="1"/>
    <col min="51" max="51" width="10.5703125" style="2" customWidth="1"/>
    <col min="52" max="52" width="10" style="2" customWidth="1"/>
    <col min="53" max="53" width="10.28515625" style="2" customWidth="1"/>
    <col min="54" max="54" width="10" style="2" hidden="1" customWidth="1"/>
    <col min="55" max="55" width="12.28515625" style="2" hidden="1" customWidth="1"/>
    <col min="56" max="56" width="15" style="2" hidden="1" customWidth="1"/>
    <col min="57" max="57" width="10.85546875" style="2" hidden="1" customWidth="1"/>
    <col min="58" max="58" width="17.7109375" style="2" hidden="1" customWidth="1"/>
    <col min="59" max="59" width="11.7109375" style="2" hidden="1" customWidth="1"/>
    <col min="60" max="60" width="16.7109375" style="2" hidden="1" customWidth="1"/>
    <col min="61" max="61" width="10.85546875" style="2" hidden="1" customWidth="1"/>
    <col min="62" max="62" width="9.85546875" style="2" customWidth="1"/>
    <col min="63" max="63" width="11.42578125" style="2" customWidth="1"/>
    <col min="64" max="64" width="11.28515625" style="2" customWidth="1"/>
    <col min="65" max="66" width="10.85546875" style="2" customWidth="1"/>
    <col min="67" max="67" width="8.28515625" style="2" hidden="1" customWidth="1"/>
    <col min="68" max="68" width="10.42578125" style="2" customWidth="1"/>
    <col min="69" max="69" width="12.85546875" style="2" customWidth="1"/>
    <col min="70" max="70" width="10.7109375" style="2" customWidth="1"/>
    <col min="71" max="71" width="6.42578125" style="2" customWidth="1"/>
    <col min="72" max="72" width="11.140625" style="2" customWidth="1"/>
    <col min="73" max="73" width="14.140625" style="2" customWidth="1"/>
    <col min="74" max="16384" width="5.7109375" style="47"/>
  </cols>
  <sheetData>
    <row r="1" spans="1:74" x14ac:dyDescent="0.25">
      <c r="A1" s="5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40"/>
      <c r="U1" s="40"/>
      <c r="V1" s="40"/>
      <c r="W1" s="40"/>
      <c r="X1" s="40"/>
      <c r="Y1" s="40"/>
      <c r="Z1" s="40"/>
      <c r="AA1" s="40"/>
      <c r="AB1" s="40"/>
      <c r="AC1" s="40"/>
      <c r="AD1" s="5"/>
      <c r="AE1" s="5"/>
      <c r="AF1" s="5"/>
      <c r="AG1" s="5"/>
      <c r="AH1" s="5"/>
      <c r="AI1" s="5"/>
      <c r="AJ1" s="5"/>
      <c r="AK1" s="228"/>
      <c r="AL1" s="5"/>
      <c r="AM1" s="5"/>
      <c r="AN1" s="5"/>
      <c r="AO1" s="5"/>
      <c r="AP1" s="5"/>
      <c r="AQ1" s="11"/>
      <c r="AR1" s="1"/>
      <c r="AS1" s="1"/>
      <c r="AT1" s="1"/>
      <c r="AU1" s="1"/>
      <c r="AV1" s="5"/>
      <c r="AW1" s="1"/>
      <c r="BT1" s="30" t="s">
        <v>71</v>
      </c>
      <c r="BU1" s="31"/>
    </row>
    <row r="2" spans="1:74" x14ac:dyDescent="0.25">
      <c r="A2" s="12" t="s">
        <v>68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  <c r="R2" s="13"/>
      <c r="S2" s="13"/>
      <c r="T2" s="41"/>
      <c r="U2" s="41"/>
      <c r="V2" s="41"/>
      <c r="W2" s="41"/>
      <c r="X2" s="41"/>
      <c r="Y2" s="41"/>
      <c r="Z2" s="41"/>
      <c r="AA2" s="41"/>
      <c r="AB2" s="41"/>
      <c r="AC2" s="41"/>
      <c r="AD2" s="42"/>
      <c r="AE2" s="42"/>
      <c r="AF2" s="42"/>
      <c r="AG2" s="42"/>
      <c r="AH2" s="42"/>
      <c r="AI2" s="42"/>
      <c r="AJ2" s="42"/>
      <c r="AK2" s="229"/>
      <c r="AL2" s="42"/>
      <c r="AM2" s="42"/>
      <c r="AN2" s="42"/>
      <c r="AO2" s="42"/>
      <c r="AP2" s="42"/>
      <c r="AQ2" s="43"/>
      <c r="AR2" s="13"/>
      <c r="AS2" s="13"/>
      <c r="AT2" s="13"/>
      <c r="AU2" s="13"/>
      <c r="AV2" s="5"/>
      <c r="AW2" s="1"/>
      <c r="BT2" s="31"/>
      <c r="BU2" s="31"/>
    </row>
    <row r="3" spans="1:74" s="297" customFormat="1" ht="34.9" customHeight="1" x14ac:dyDescent="0.3">
      <c r="A3" s="296" t="s">
        <v>153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60"/>
      <c r="AY3" s="60"/>
      <c r="AZ3" s="60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8"/>
      <c r="BT3" s="38"/>
      <c r="BU3" s="38"/>
      <c r="BV3" s="71"/>
    </row>
    <row r="4" spans="1:74" s="163" customFormat="1" ht="17.850000000000001" customHeight="1" x14ac:dyDescent="0.25">
      <c r="A4" s="15" t="s">
        <v>69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2"/>
      <c r="AY4" s="12"/>
      <c r="AZ4" s="12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31"/>
      <c r="BT4" s="30"/>
      <c r="BU4" s="31"/>
      <c r="BV4" s="47"/>
    </row>
    <row r="5" spans="1:74" ht="16.899999999999999" customHeight="1" x14ac:dyDescent="0.25">
      <c r="A5" s="231">
        <v>22</v>
      </c>
      <c r="B5" s="232">
        <v>0.85</v>
      </c>
      <c r="C5" s="33">
        <v>1</v>
      </c>
      <c r="D5" s="7"/>
      <c r="E5" s="7"/>
      <c r="F5" s="7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8"/>
      <c r="U5" s="8"/>
      <c r="V5" s="8"/>
      <c r="W5" s="8"/>
      <c r="X5" s="8"/>
      <c r="Y5" s="8"/>
      <c r="Z5" s="8"/>
      <c r="AA5" s="8"/>
      <c r="AB5" s="8"/>
      <c r="AC5" s="8"/>
      <c r="AD5" s="9"/>
      <c r="AE5" s="9"/>
      <c r="AF5" s="9"/>
      <c r="AG5" s="34">
        <v>0.6</v>
      </c>
      <c r="AH5" s="9"/>
      <c r="AI5" s="9"/>
      <c r="AJ5" s="9"/>
      <c r="AK5" s="10"/>
      <c r="AL5" s="9"/>
      <c r="AM5" s="5"/>
      <c r="AN5" s="5"/>
      <c r="AO5" s="5"/>
      <c r="AP5" s="5"/>
      <c r="AQ5" s="11"/>
      <c r="AR5" s="5"/>
      <c r="AS5" s="5"/>
      <c r="AT5" s="5"/>
      <c r="AU5" s="5"/>
      <c r="AV5" s="5"/>
      <c r="AW5" s="1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227" t="s">
        <v>127</v>
      </c>
      <c r="BO5" s="5"/>
      <c r="BP5" s="5"/>
      <c r="BQ5" s="5"/>
      <c r="BR5" s="5"/>
      <c r="BS5" s="32"/>
      <c r="BT5" s="39">
        <v>33000</v>
      </c>
      <c r="BU5" s="32"/>
    </row>
    <row r="6" spans="1:74" s="155" customFormat="1" ht="42.75" customHeight="1" x14ac:dyDescent="0.25">
      <c r="A6" s="415" t="s">
        <v>0</v>
      </c>
      <c r="B6" s="415" t="s">
        <v>1</v>
      </c>
      <c r="C6" s="415" t="s">
        <v>2</v>
      </c>
      <c r="D6" s="415" t="s">
        <v>3</v>
      </c>
      <c r="E6" s="415" t="s">
        <v>4</v>
      </c>
      <c r="F6" s="415" t="s">
        <v>73</v>
      </c>
      <c r="G6" s="436" t="s">
        <v>113</v>
      </c>
      <c r="H6" s="437"/>
      <c r="I6" s="415" t="s">
        <v>5</v>
      </c>
      <c r="J6" s="436" t="s">
        <v>6</v>
      </c>
      <c r="K6" s="440"/>
      <c r="L6" s="440"/>
      <c r="M6" s="440"/>
      <c r="N6" s="440"/>
      <c r="O6" s="440"/>
      <c r="P6" s="440"/>
      <c r="Q6" s="437"/>
      <c r="R6" s="442" t="s">
        <v>7</v>
      </c>
      <c r="S6" s="443"/>
      <c r="T6" s="446" t="s">
        <v>152</v>
      </c>
      <c r="U6" s="447"/>
      <c r="V6" s="447"/>
      <c r="W6" s="447"/>
      <c r="X6" s="447"/>
      <c r="Y6" s="447"/>
      <c r="Z6" s="447"/>
      <c r="AA6" s="447"/>
      <c r="AB6" s="447"/>
      <c r="AC6" s="512"/>
      <c r="AD6" s="425" t="s">
        <v>99</v>
      </c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6"/>
      <c r="AW6" s="412" t="s">
        <v>154</v>
      </c>
      <c r="AX6" s="461" t="s">
        <v>30</v>
      </c>
      <c r="AY6" s="461"/>
      <c r="AZ6" s="461"/>
      <c r="BA6" s="461"/>
      <c r="BB6" s="461"/>
      <c r="BC6" s="461"/>
      <c r="BD6" s="461"/>
      <c r="BE6" s="461"/>
      <c r="BF6" s="461"/>
      <c r="BG6" s="461"/>
      <c r="BH6" s="461"/>
      <c r="BI6" s="461"/>
      <c r="BJ6" s="461"/>
      <c r="BK6" s="461"/>
      <c r="BL6" s="461"/>
      <c r="BM6" s="461"/>
      <c r="BN6" s="461"/>
      <c r="BO6" s="458" t="s">
        <v>98</v>
      </c>
      <c r="BP6" s="458" t="s">
        <v>98</v>
      </c>
      <c r="BQ6" s="455" t="s">
        <v>32</v>
      </c>
      <c r="BR6" s="458" t="s">
        <v>51</v>
      </c>
      <c r="BS6" s="455" t="s">
        <v>33</v>
      </c>
      <c r="BT6" s="458" t="s">
        <v>34</v>
      </c>
      <c r="BU6" s="455" t="s">
        <v>35</v>
      </c>
      <c r="BV6" s="47"/>
    </row>
    <row r="7" spans="1:74" s="155" customFormat="1" ht="22.35" customHeight="1" x14ac:dyDescent="0.25">
      <c r="A7" s="435"/>
      <c r="B7" s="435"/>
      <c r="C7" s="435"/>
      <c r="D7" s="435"/>
      <c r="E7" s="435"/>
      <c r="F7" s="435"/>
      <c r="G7" s="438"/>
      <c r="H7" s="439"/>
      <c r="I7" s="435"/>
      <c r="J7" s="438"/>
      <c r="K7" s="441"/>
      <c r="L7" s="441"/>
      <c r="M7" s="441"/>
      <c r="N7" s="441"/>
      <c r="O7" s="441"/>
      <c r="P7" s="441"/>
      <c r="Q7" s="439"/>
      <c r="R7" s="444"/>
      <c r="S7" s="445"/>
      <c r="T7" s="421" t="s">
        <v>115</v>
      </c>
      <c r="U7" s="428"/>
      <c r="V7" s="428"/>
      <c r="W7" s="422"/>
      <c r="X7" s="421" t="s">
        <v>125</v>
      </c>
      <c r="Y7" s="428"/>
      <c r="Z7" s="428"/>
      <c r="AA7" s="428"/>
      <c r="AB7" s="428"/>
      <c r="AC7" s="422"/>
      <c r="AD7" s="429" t="s">
        <v>75</v>
      </c>
      <c r="AE7" s="430"/>
      <c r="AF7" s="430"/>
      <c r="AG7" s="430"/>
      <c r="AH7" s="430"/>
      <c r="AI7" s="430"/>
      <c r="AJ7" s="430"/>
      <c r="AK7" s="430"/>
      <c r="AL7" s="430"/>
      <c r="AM7" s="430"/>
      <c r="AN7" s="431"/>
      <c r="AO7" s="156"/>
      <c r="AP7" s="432" t="s">
        <v>94</v>
      </c>
      <c r="AQ7" s="396" t="s">
        <v>85</v>
      </c>
      <c r="AR7" s="397"/>
      <c r="AS7" s="397"/>
      <c r="AT7" s="397"/>
      <c r="AU7" s="397"/>
      <c r="AV7" s="398"/>
      <c r="AW7" s="413"/>
      <c r="AX7" s="450" t="s">
        <v>97</v>
      </c>
      <c r="AY7" s="450" t="s">
        <v>36</v>
      </c>
      <c r="AZ7" s="450" t="s">
        <v>37</v>
      </c>
      <c r="BA7" s="450" t="s">
        <v>38</v>
      </c>
      <c r="BB7" s="450" t="s">
        <v>66</v>
      </c>
      <c r="BC7" s="450" t="s">
        <v>67</v>
      </c>
      <c r="BD7" s="450" t="s">
        <v>63</v>
      </c>
      <c r="BE7" s="450" t="s">
        <v>39</v>
      </c>
      <c r="BF7" s="450" t="s">
        <v>61</v>
      </c>
      <c r="BG7" s="450" t="s">
        <v>40</v>
      </c>
      <c r="BH7" s="450" t="s">
        <v>41</v>
      </c>
      <c r="BI7" s="450" t="s">
        <v>90</v>
      </c>
      <c r="BJ7" s="450" t="s">
        <v>42</v>
      </c>
      <c r="BK7" s="450" t="s">
        <v>160</v>
      </c>
      <c r="BL7" s="450" t="s">
        <v>155</v>
      </c>
      <c r="BM7" s="450" t="s">
        <v>156</v>
      </c>
      <c r="BN7" s="450" t="s">
        <v>44</v>
      </c>
      <c r="BO7" s="459"/>
      <c r="BP7" s="459"/>
      <c r="BQ7" s="456"/>
      <c r="BR7" s="459"/>
      <c r="BS7" s="456"/>
      <c r="BT7" s="459"/>
      <c r="BU7" s="456"/>
      <c r="BV7" s="47"/>
    </row>
    <row r="8" spans="1:74" s="155" customFormat="1" ht="47.65" customHeight="1" x14ac:dyDescent="0.25">
      <c r="A8" s="435"/>
      <c r="B8" s="435"/>
      <c r="C8" s="435"/>
      <c r="D8" s="435"/>
      <c r="E8" s="435"/>
      <c r="F8" s="435"/>
      <c r="G8" s="415" t="s">
        <v>18</v>
      </c>
      <c r="H8" s="415" t="s">
        <v>19</v>
      </c>
      <c r="I8" s="435"/>
      <c r="J8" s="415" t="s">
        <v>14</v>
      </c>
      <c r="K8" s="415" t="s">
        <v>76</v>
      </c>
      <c r="L8" s="419" t="s">
        <v>95</v>
      </c>
      <c r="M8" s="417" t="s">
        <v>91</v>
      </c>
      <c r="N8" s="415" t="s">
        <v>77</v>
      </c>
      <c r="O8" s="417" t="s">
        <v>86</v>
      </c>
      <c r="P8" s="390" t="s">
        <v>87</v>
      </c>
      <c r="Q8" s="391"/>
      <c r="R8" s="415" t="s">
        <v>17</v>
      </c>
      <c r="S8" s="394" t="s">
        <v>84</v>
      </c>
      <c r="T8" s="421" t="s">
        <v>49</v>
      </c>
      <c r="U8" s="422"/>
      <c r="V8" s="421" t="s">
        <v>50</v>
      </c>
      <c r="W8" s="422"/>
      <c r="X8" s="421" t="s">
        <v>64</v>
      </c>
      <c r="Y8" s="422"/>
      <c r="Z8" s="421" t="s">
        <v>49</v>
      </c>
      <c r="AA8" s="422"/>
      <c r="AB8" s="421" t="s">
        <v>50</v>
      </c>
      <c r="AC8" s="422"/>
      <c r="AD8" s="415" t="s">
        <v>8</v>
      </c>
      <c r="AE8" s="392" t="s">
        <v>52</v>
      </c>
      <c r="AF8" s="412" t="s">
        <v>9</v>
      </c>
      <c r="AG8" s="412" t="s">
        <v>92</v>
      </c>
      <c r="AH8" s="412" t="s">
        <v>93</v>
      </c>
      <c r="AI8" s="394" t="s">
        <v>78</v>
      </c>
      <c r="AJ8" s="412" t="s">
        <v>79</v>
      </c>
      <c r="AK8" s="433" t="s">
        <v>65</v>
      </c>
      <c r="AL8" s="421" t="s">
        <v>116</v>
      </c>
      <c r="AM8" s="422"/>
      <c r="AN8" s="425" t="s">
        <v>117</v>
      </c>
      <c r="AO8" s="426"/>
      <c r="AP8" s="432"/>
      <c r="AQ8" s="423" t="s">
        <v>80</v>
      </c>
      <c r="AR8" s="423" t="s">
        <v>81</v>
      </c>
      <c r="AS8" s="423" t="s">
        <v>118</v>
      </c>
      <c r="AT8" s="423" t="s">
        <v>119</v>
      </c>
      <c r="AU8" s="423" t="s">
        <v>82</v>
      </c>
      <c r="AV8" s="386"/>
      <c r="AW8" s="413"/>
      <c r="AX8" s="451"/>
      <c r="AY8" s="451"/>
      <c r="AZ8" s="451"/>
      <c r="BA8" s="451"/>
      <c r="BB8" s="451"/>
      <c r="BC8" s="451"/>
      <c r="BD8" s="451"/>
      <c r="BE8" s="451"/>
      <c r="BF8" s="451"/>
      <c r="BG8" s="451"/>
      <c r="BH8" s="451"/>
      <c r="BI8" s="451"/>
      <c r="BJ8" s="451"/>
      <c r="BK8" s="451"/>
      <c r="BL8" s="451"/>
      <c r="BM8" s="451"/>
      <c r="BN8" s="451"/>
      <c r="BO8" s="459"/>
      <c r="BP8" s="459"/>
      <c r="BQ8" s="456"/>
      <c r="BR8" s="459"/>
      <c r="BS8" s="456"/>
      <c r="BT8" s="459"/>
      <c r="BU8" s="456"/>
      <c r="BV8" s="47"/>
    </row>
    <row r="9" spans="1:74" s="155" customFormat="1" ht="35.450000000000003" customHeight="1" x14ac:dyDescent="0.25">
      <c r="A9" s="416"/>
      <c r="B9" s="416" t="s">
        <v>13</v>
      </c>
      <c r="C9" s="416" t="s">
        <v>13</v>
      </c>
      <c r="D9" s="416"/>
      <c r="E9" s="416"/>
      <c r="F9" s="416"/>
      <c r="G9" s="416"/>
      <c r="H9" s="416"/>
      <c r="I9" s="416"/>
      <c r="J9" s="416"/>
      <c r="K9" s="416"/>
      <c r="L9" s="420"/>
      <c r="M9" s="418"/>
      <c r="N9" s="416"/>
      <c r="O9" s="418"/>
      <c r="P9" s="159" t="s">
        <v>120</v>
      </c>
      <c r="Q9" s="160" t="s">
        <v>96</v>
      </c>
      <c r="R9" s="416"/>
      <c r="S9" s="395"/>
      <c r="T9" s="161" t="s">
        <v>15</v>
      </c>
      <c r="U9" s="161" t="s">
        <v>16</v>
      </c>
      <c r="V9" s="161" t="s">
        <v>15</v>
      </c>
      <c r="W9" s="161" t="s">
        <v>16</v>
      </c>
      <c r="X9" s="161" t="s">
        <v>15</v>
      </c>
      <c r="Y9" s="161" t="s">
        <v>16</v>
      </c>
      <c r="Z9" s="161" t="s">
        <v>15</v>
      </c>
      <c r="AA9" s="161" t="s">
        <v>16</v>
      </c>
      <c r="AB9" s="161" t="s">
        <v>15</v>
      </c>
      <c r="AC9" s="161" t="s">
        <v>16</v>
      </c>
      <c r="AD9" s="416"/>
      <c r="AE9" s="393"/>
      <c r="AF9" s="414"/>
      <c r="AG9" s="414"/>
      <c r="AH9" s="414"/>
      <c r="AI9" s="395"/>
      <c r="AJ9" s="414"/>
      <c r="AK9" s="434"/>
      <c r="AL9" s="157" t="s">
        <v>15</v>
      </c>
      <c r="AM9" s="157" t="s">
        <v>16</v>
      </c>
      <c r="AN9" s="157" t="s">
        <v>15</v>
      </c>
      <c r="AO9" s="157" t="s">
        <v>16</v>
      </c>
      <c r="AP9" s="432"/>
      <c r="AQ9" s="424"/>
      <c r="AR9" s="424"/>
      <c r="AS9" s="424"/>
      <c r="AT9" s="424"/>
      <c r="AU9" s="424"/>
      <c r="AV9" s="387"/>
      <c r="AW9" s="414"/>
      <c r="AX9" s="452"/>
      <c r="AY9" s="452"/>
      <c r="AZ9" s="452"/>
      <c r="BA9" s="452"/>
      <c r="BB9" s="452"/>
      <c r="BC9" s="452"/>
      <c r="BD9" s="452"/>
      <c r="BE9" s="452"/>
      <c r="BF9" s="452"/>
      <c r="BG9" s="452"/>
      <c r="BH9" s="452"/>
      <c r="BI9" s="452"/>
      <c r="BJ9" s="452"/>
      <c r="BK9" s="452"/>
      <c r="BL9" s="452"/>
      <c r="BM9" s="452"/>
      <c r="BN9" s="452"/>
      <c r="BO9" s="460"/>
      <c r="BP9" s="460"/>
      <c r="BQ9" s="457"/>
      <c r="BR9" s="460"/>
      <c r="BS9" s="457"/>
      <c r="BT9" s="460"/>
      <c r="BU9" s="457"/>
      <c r="BV9" s="47"/>
    </row>
    <row r="10" spans="1:74" s="359" customFormat="1" ht="18" customHeight="1" x14ac:dyDescent="0.2">
      <c r="A10" s="353" t="s">
        <v>100</v>
      </c>
      <c r="B10" s="354" t="s">
        <v>101</v>
      </c>
      <c r="C10" s="100" t="s">
        <v>102</v>
      </c>
      <c r="D10" s="100">
        <v>-1</v>
      </c>
      <c r="E10" s="355">
        <v>-2</v>
      </c>
      <c r="F10" s="356" t="s">
        <v>106</v>
      </c>
      <c r="G10" s="355">
        <v>-4</v>
      </c>
      <c r="H10" s="100">
        <v>-5</v>
      </c>
      <c r="I10" s="100">
        <v>-6</v>
      </c>
      <c r="J10" s="100">
        <v>-7</v>
      </c>
      <c r="K10" s="100">
        <v>-8</v>
      </c>
      <c r="L10" s="100">
        <v>-9</v>
      </c>
      <c r="M10" s="100">
        <v>-7</v>
      </c>
      <c r="N10" s="100">
        <v>-10</v>
      </c>
      <c r="O10" s="100"/>
      <c r="P10" s="100">
        <v>-8</v>
      </c>
      <c r="Q10" s="100"/>
      <c r="R10" s="100"/>
      <c r="S10" s="100">
        <v>-9</v>
      </c>
      <c r="T10" s="100">
        <v>-11</v>
      </c>
      <c r="U10" s="100">
        <v>-10</v>
      </c>
      <c r="V10" s="100">
        <v>-12</v>
      </c>
      <c r="W10" s="100">
        <v>-10</v>
      </c>
      <c r="X10" s="100">
        <v>-10</v>
      </c>
      <c r="Y10" s="100">
        <v>-11</v>
      </c>
      <c r="Z10" s="100">
        <v>-11</v>
      </c>
      <c r="AA10" s="100">
        <v>-10</v>
      </c>
      <c r="AB10" s="100">
        <v>-12</v>
      </c>
      <c r="AC10" s="100">
        <v>-15</v>
      </c>
      <c r="AD10" s="100">
        <v>-13</v>
      </c>
      <c r="AE10" s="100">
        <v>-14</v>
      </c>
      <c r="AF10" s="100">
        <v>-16</v>
      </c>
      <c r="AG10" s="100">
        <v>-17</v>
      </c>
      <c r="AH10" s="100">
        <v>-18</v>
      </c>
      <c r="AI10" s="100">
        <v>-10</v>
      </c>
      <c r="AJ10" s="100">
        <v>-10</v>
      </c>
      <c r="AK10" s="100">
        <v>-15</v>
      </c>
      <c r="AL10" s="100">
        <v>-16</v>
      </c>
      <c r="AM10" s="100">
        <v>-20</v>
      </c>
      <c r="AN10" s="100">
        <v>-21</v>
      </c>
      <c r="AO10" s="100">
        <v>-22</v>
      </c>
      <c r="AP10" s="100">
        <v>-23</v>
      </c>
      <c r="AQ10" s="100">
        <v>-17</v>
      </c>
      <c r="AR10" s="100">
        <v>-24</v>
      </c>
      <c r="AS10" s="100">
        <v>-24</v>
      </c>
      <c r="AT10" s="100">
        <v>-27</v>
      </c>
      <c r="AU10" s="100">
        <v>-10</v>
      </c>
      <c r="AV10" s="100">
        <v>-25</v>
      </c>
      <c r="AW10" s="357" t="s">
        <v>134</v>
      </c>
      <c r="AX10" s="355">
        <v>-19</v>
      </c>
      <c r="AY10" s="355">
        <v>-20</v>
      </c>
      <c r="AZ10" s="355">
        <v>-21</v>
      </c>
      <c r="BA10" s="355">
        <v>-22</v>
      </c>
      <c r="BB10" s="355"/>
      <c r="BC10" s="355"/>
      <c r="BD10" s="355"/>
      <c r="BE10" s="355"/>
      <c r="BF10" s="355"/>
      <c r="BG10" s="355"/>
      <c r="BH10" s="355"/>
      <c r="BI10" s="355"/>
      <c r="BJ10" s="355">
        <v>-23</v>
      </c>
      <c r="BK10" s="355">
        <v>-24</v>
      </c>
      <c r="BL10" s="355">
        <v>-25</v>
      </c>
      <c r="BM10" s="355">
        <v>-26</v>
      </c>
      <c r="BN10" s="355" t="s">
        <v>157</v>
      </c>
      <c r="BO10" s="355">
        <v>-23</v>
      </c>
      <c r="BP10" s="355">
        <v>-28</v>
      </c>
      <c r="BQ10" s="355" t="s">
        <v>158</v>
      </c>
      <c r="BR10" s="355">
        <v>-31</v>
      </c>
      <c r="BS10" s="355">
        <v>-32</v>
      </c>
      <c r="BT10" s="355">
        <v>-33</v>
      </c>
      <c r="BU10" s="355" t="s">
        <v>159</v>
      </c>
      <c r="BV10" s="358"/>
    </row>
    <row r="11" spans="1:74" s="48" customFormat="1" ht="42.75" customHeight="1" x14ac:dyDescent="0.25">
      <c r="A11" s="299">
        <v>1</v>
      </c>
      <c r="B11" s="300" t="s">
        <v>20</v>
      </c>
      <c r="C11" s="324" t="s">
        <v>47</v>
      </c>
      <c r="D11" s="311">
        <v>16740000</v>
      </c>
      <c r="E11" s="323"/>
      <c r="F11" s="313">
        <v>6500000</v>
      </c>
      <c r="G11" s="312">
        <v>9930000</v>
      </c>
      <c r="H11" s="312"/>
      <c r="I11" s="314" t="s">
        <v>21</v>
      </c>
      <c r="J11" s="315">
        <v>20</v>
      </c>
      <c r="K11" s="315">
        <v>2</v>
      </c>
      <c r="L11" s="315">
        <v>0</v>
      </c>
      <c r="M11" s="315">
        <v>0</v>
      </c>
      <c r="N11" s="315"/>
      <c r="O11" s="315">
        <v>0</v>
      </c>
      <c r="P11" s="317">
        <v>0</v>
      </c>
      <c r="Q11" s="317"/>
      <c r="R11" s="317"/>
      <c r="S11" s="317">
        <v>0</v>
      </c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4">
        <f>ROUND(F11*(J11+K11+M11)/$A$5,-3)</f>
        <v>6500000</v>
      </c>
      <c r="AE11" s="319">
        <f>ROUND(IF(I11="A",(D11-F11)*(J11+K11+M11)/$A$5,IF(I11="B",(D11-F11)*0.5*(J11+K11+M11)/$A$5,IF(I11="C",0))),-3)</f>
        <v>10240000</v>
      </c>
      <c r="AF11" s="73"/>
      <c r="AG11" s="73"/>
      <c r="AH11" s="73"/>
      <c r="AI11" s="73">
        <f>ROUND(G11*(L11)/$A$5,-3)</f>
        <v>0</v>
      </c>
      <c r="AJ11" s="73">
        <f>ROUND(G11*N11/$A$5*85%,-3)</f>
        <v>0</v>
      </c>
      <c r="AK11" s="320">
        <f t="shared" ref="AK11:AK16" si="0">ROUND(P11*316000,-3)</f>
        <v>0</v>
      </c>
      <c r="AL11" s="321">
        <f t="shared" ref="AL11:AL22" si="1">ROUND((X11*43000+Z11*43000+AB11*43000),-3)</f>
        <v>0</v>
      </c>
      <c r="AM11" s="321">
        <f t="shared" ref="AM11:AM22" si="2">ROUND((AC11*54000+AA11*54000+Y11*57000),-3)</f>
        <v>0</v>
      </c>
      <c r="AN11" s="321">
        <f t="shared" ref="AN11:AN22" si="3">ROUND((T11*43000+V11*43000),-3)</f>
        <v>0</v>
      </c>
      <c r="AO11" s="321">
        <f t="shared" ref="AO11:AO26" si="4">ROUND((U11*48600+W11*52000),-3)</f>
        <v>0</v>
      </c>
      <c r="AP11" s="321"/>
      <c r="AQ11" s="352"/>
      <c r="AR11" s="323"/>
      <c r="AS11" s="323"/>
      <c r="AT11" s="323"/>
      <c r="AU11" s="323"/>
      <c r="AV11" s="324"/>
      <c r="AW11" s="325">
        <f>ROUND(SUM(AD11:AU11)-AV11,-3)</f>
        <v>16740000</v>
      </c>
      <c r="AX11" s="67">
        <f>ROUND(IF((AW11-AY11-AZ11-BA11)*0.5%&lt;234000,(AW11-AY11-AZ11-BA11)*0.5%,234000),-3)</f>
        <v>78000</v>
      </c>
      <c r="AY11" s="298">
        <v>794400</v>
      </c>
      <c r="AZ11" s="298">
        <v>148950</v>
      </c>
      <c r="BA11" s="298">
        <v>99300</v>
      </c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>
        <v>180000</v>
      </c>
      <c r="BM11" s="73"/>
      <c r="BN11" s="74">
        <f>SUM(AX11:BM11)</f>
        <v>1300650</v>
      </c>
      <c r="BO11" s="73"/>
      <c r="BP11" s="73"/>
      <c r="BQ11" s="74">
        <f>(AW11-BN11+BO11+BP11)</f>
        <v>15439350</v>
      </c>
      <c r="BR11" s="73">
        <v>100000</v>
      </c>
      <c r="BS11" s="73">
        <v>20</v>
      </c>
      <c r="BT11" s="73">
        <f>BS11*$BT$5</f>
        <v>660000</v>
      </c>
      <c r="BU11" s="74">
        <f>BQ11+BT11+BR11</f>
        <v>16199350</v>
      </c>
    </row>
    <row r="12" spans="1:74" s="49" customFormat="1" ht="42.75" customHeight="1" x14ac:dyDescent="0.25">
      <c r="A12" s="299">
        <v>2</v>
      </c>
      <c r="B12" s="300" t="s">
        <v>23</v>
      </c>
      <c r="C12" s="351" t="s">
        <v>88</v>
      </c>
      <c r="D12" s="311">
        <v>14700000</v>
      </c>
      <c r="E12" s="312">
        <v>525000</v>
      </c>
      <c r="F12" s="313">
        <v>6500000</v>
      </c>
      <c r="G12" s="312">
        <v>7510000</v>
      </c>
      <c r="H12" s="312">
        <v>525000</v>
      </c>
      <c r="I12" s="314" t="s">
        <v>21</v>
      </c>
      <c r="J12" s="315">
        <v>20</v>
      </c>
      <c r="K12" s="315">
        <v>2</v>
      </c>
      <c r="L12" s="316">
        <v>0</v>
      </c>
      <c r="M12" s="315">
        <v>0</v>
      </c>
      <c r="N12" s="315"/>
      <c r="O12" s="315">
        <v>0</v>
      </c>
      <c r="P12" s="317">
        <v>0</v>
      </c>
      <c r="Q12" s="317"/>
      <c r="R12" s="317"/>
      <c r="S12" s="317">
        <v>0</v>
      </c>
      <c r="T12" s="318">
        <v>0</v>
      </c>
      <c r="U12" s="318">
        <v>0</v>
      </c>
      <c r="V12" s="318">
        <v>0</v>
      </c>
      <c r="W12" s="318"/>
      <c r="X12" s="318">
        <v>0</v>
      </c>
      <c r="Y12" s="318">
        <v>0</v>
      </c>
      <c r="Z12" s="318">
        <v>9.8666666666666742</v>
      </c>
      <c r="AA12" s="318">
        <v>0</v>
      </c>
      <c r="AB12" s="318">
        <v>15.866666666666674</v>
      </c>
      <c r="AC12" s="318">
        <v>0</v>
      </c>
      <c r="AD12" s="314">
        <f>ROUND(F12*(J12)/$A$5*$B$5,-3)</f>
        <v>5023000</v>
      </c>
      <c r="AE12" s="319">
        <f>ROUND(IF(I12="A",(D12-F12-4500000)*(J12)/$A$5*$B$5,IF(I12="B",(D12-F12-4500000)*0.5*(J12)/$A$5*$B$5,IF(I12="C",0))),-3)</f>
        <v>2859000</v>
      </c>
      <c r="AF12" s="73">
        <f>ROUND(G12*(K12)/$A$5,-3)</f>
        <v>683000</v>
      </c>
      <c r="AG12" s="73"/>
      <c r="AH12" s="73">
        <f t="shared" ref="AH12:AH26" si="5">ROUND((D12)*M12/$A$5,-3)</f>
        <v>0</v>
      </c>
      <c r="AI12" s="73">
        <f>ROUND(G12*(L12)/$A$5,-3)</f>
        <v>0</v>
      </c>
      <c r="AJ12" s="73">
        <f>ROUND(G12*N12/$A$5*85%,-3)</f>
        <v>0</v>
      </c>
      <c r="AK12" s="320">
        <f t="shared" si="0"/>
        <v>0</v>
      </c>
      <c r="AL12" s="321">
        <f>ROUND((X12*43000+Z12*43000+AB12*43000),-3)</f>
        <v>1107000</v>
      </c>
      <c r="AM12" s="321">
        <f t="shared" si="2"/>
        <v>0</v>
      </c>
      <c r="AN12" s="321">
        <f t="shared" si="3"/>
        <v>0</v>
      </c>
      <c r="AO12" s="321">
        <f t="shared" si="4"/>
        <v>0</v>
      </c>
      <c r="AP12" s="322"/>
      <c r="AQ12" s="73">
        <v>525000</v>
      </c>
      <c r="AR12" s="73"/>
      <c r="AS12" s="323"/>
      <c r="AT12" s="323"/>
      <c r="AU12" s="323"/>
      <c r="AV12" s="324"/>
      <c r="AW12" s="325">
        <f>ROUND(SUM(AD12:AU12)-AV12,-3)</f>
        <v>10197000</v>
      </c>
      <c r="AX12" s="67">
        <f t="shared" ref="AX12" si="6">ROUND(IF((AW12-AY12-AZ12-BA12)*0.5%&lt;234000,(AW12-AY12-AZ12-BA12)*0.5%,234000),-3)</f>
        <v>47000</v>
      </c>
      <c r="AY12" s="298">
        <v>642800</v>
      </c>
      <c r="AZ12" s="298">
        <v>120525</v>
      </c>
      <c r="BA12" s="298">
        <v>80350</v>
      </c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>
        <v>180000</v>
      </c>
      <c r="BM12" s="73"/>
      <c r="BN12" s="74">
        <f t="shared" ref="BN12:BN26" si="7">SUM(AX12:BM12)</f>
        <v>1070675</v>
      </c>
      <c r="BO12" s="73"/>
      <c r="BP12" s="73"/>
      <c r="BQ12" s="74">
        <f t="shared" ref="BQ12:BQ26" si="8">(AW12-BN12+BO12+BP12)</f>
        <v>9126325</v>
      </c>
      <c r="BR12" s="73">
        <v>100000</v>
      </c>
      <c r="BS12" s="73">
        <v>20</v>
      </c>
      <c r="BT12" s="73">
        <f>BS12*$BT$5</f>
        <v>660000</v>
      </c>
      <c r="BU12" s="74">
        <f t="shared" ref="BU12:BU26" si="9">BQ12+BT12+BR12</f>
        <v>9886325</v>
      </c>
    </row>
    <row r="13" spans="1:74" s="49" customFormat="1" ht="42.75" customHeight="1" x14ac:dyDescent="0.25">
      <c r="A13" s="299">
        <v>3</v>
      </c>
      <c r="B13" s="300" t="s">
        <v>25</v>
      </c>
      <c r="C13" s="310" t="s">
        <v>24</v>
      </c>
      <c r="D13" s="311">
        <v>14700000</v>
      </c>
      <c r="E13" s="312"/>
      <c r="F13" s="313">
        <v>6500000</v>
      </c>
      <c r="G13" s="312">
        <v>7510000</v>
      </c>
      <c r="H13" s="312"/>
      <c r="I13" s="314" t="s">
        <v>21</v>
      </c>
      <c r="J13" s="315">
        <v>20</v>
      </c>
      <c r="K13" s="315">
        <v>2</v>
      </c>
      <c r="L13" s="315">
        <v>0</v>
      </c>
      <c r="M13" s="315">
        <v>0</v>
      </c>
      <c r="N13" s="315"/>
      <c r="O13" s="315">
        <v>0</v>
      </c>
      <c r="P13" s="326">
        <v>36.75</v>
      </c>
      <c r="Q13" s="317"/>
      <c r="R13" s="317"/>
      <c r="S13" s="317">
        <v>0</v>
      </c>
      <c r="T13" s="73">
        <v>0</v>
      </c>
      <c r="U13" s="73">
        <v>0</v>
      </c>
      <c r="V13" s="73">
        <v>0</v>
      </c>
      <c r="W13" s="73"/>
      <c r="X13" s="73">
        <v>0</v>
      </c>
      <c r="Y13" s="73">
        <v>0</v>
      </c>
      <c r="Z13" s="73">
        <v>8.0999999999999943</v>
      </c>
      <c r="AA13" s="73">
        <v>0</v>
      </c>
      <c r="AB13" s="73">
        <v>72.699999999999989</v>
      </c>
      <c r="AC13" s="73">
        <v>0</v>
      </c>
      <c r="AD13" s="314">
        <f>ROUND(F13*(J13)/$A$5*$B$5,-3)</f>
        <v>5023000</v>
      </c>
      <c r="AE13" s="319">
        <f>ROUND(IF(I13="A",(D13-F13-4500000)*(J13)/$A$5*$B$5,IF(I13="B",(D13-F13-4500000)*0.5*(J13)/$A$5*$B$5,IF(I13="C",0))),-3)</f>
        <v>2859000</v>
      </c>
      <c r="AF13" s="73">
        <f>ROUND(G13*(K13)/$A$5,-3)</f>
        <v>683000</v>
      </c>
      <c r="AG13" s="73"/>
      <c r="AH13" s="73">
        <f t="shared" si="5"/>
        <v>0</v>
      </c>
      <c r="AI13" s="73">
        <f>ROUND(G13*(L13)/$A$5,-3)</f>
        <v>0</v>
      </c>
      <c r="AJ13" s="73">
        <f>ROUND(G13*N13/$A$5*85%,-3)</f>
        <v>0</v>
      </c>
      <c r="AK13" s="320">
        <f t="shared" si="0"/>
        <v>11613000</v>
      </c>
      <c r="AL13" s="321">
        <f t="shared" si="1"/>
        <v>3474000</v>
      </c>
      <c r="AM13" s="321">
        <f t="shared" si="2"/>
        <v>0</v>
      </c>
      <c r="AN13" s="321">
        <f t="shared" si="3"/>
        <v>0</v>
      </c>
      <c r="AO13" s="321">
        <f t="shared" si="4"/>
        <v>0</v>
      </c>
      <c r="AP13" s="322"/>
      <c r="AQ13" s="327"/>
      <c r="AR13" s="73"/>
      <c r="AS13" s="323"/>
      <c r="AT13" s="323"/>
      <c r="AU13" s="323"/>
      <c r="AV13" s="324"/>
      <c r="AW13" s="325">
        <f>ROUND(SUM(AD13:AU13)-AV13,-3)</f>
        <v>23652000</v>
      </c>
      <c r="AX13" s="67">
        <f>ROUND(IF((AW13-AY13-AZ13-BA13-BM13)*0.5%&lt;234000,(AW13-AY13-AZ13-BA13-BM13)*0.5%,234000),-3)</f>
        <v>113000</v>
      </c>
      <c r="AY13" s="298">
        <v>600800</v>
      </c>
      <c r="AZ13" s="298">
        <v>112650</v>
      </c>
      <c r="BA13" s="298">
        <v>75100</v>
      </c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>
        <v>180000</v>
      </c>
      <c r="BM13" s="73">
        <v>200000</v>
      </c>
      <c r="BN13" s="74">
        <f t="shared" si="7"/>
        <v>1281550</v>
      </c>
      <c r="BO13" s="73"/>
      <c r="BP13" s="73">
        <v>80000</v>
      </c>
      <c r="BQ13" s="74">
        <f t="shared" si="8"/>
        <v>22450450</v>
      </c>
      <c r="BR13" s="73">
        <v>100000</v>
      </c>
      <c r="BS13" s="73">
        <v>20</v>
      </c>
      <c r="BT13" s="73">
        <f t="shared" ref="BT13:BT26" si="10">BS13*$BT$5</f>
        <v>660000</v>
      </c>
      <c r="BU13" s="74">
        <f t="shared" si="9"/>
        <v>23210450</v>
      </c>
    </row>
    <row r="14" spans="1:74" s="49" customFormat="1" ht="42.75" customHeight="1" x14ac:dyDescent="0.25">
      <c r="A14" s="299">
        <v>4</v>
      </c>
      <c r="B14" s="300" t="s">
        <v>26</v>
      </c>
      <c r="C14" s="310" t="s">
        <v>89</v>
      </c>
      <c r="D14" s="311">
        <v>14200000</v>
      </c>
      <c r="E14" s="312">
        <v>525000</v>
      </c>
      <c r="F14" s="313">
        <v>6500000</v>
      </c>
      <c r="G14" s="312">
        <v>7140000</v>
      </c>
      <c r="H14" s="312">
        <v>525000</v>
      </c>
      <c r="I14" s="314" t="s">
        <v>21</v>
      </c>
      <c r="J14" s="315">
        <v>20</v>
      </c>
      <c r="K14" s="315">
        <v>2</v>
      </c>
      <c r="L14" s="315">
        <v>0</v>
      </c>
      <c r="M14" s="315">
        <v>0</v>
      </c>
      <c r="N14" s="315"/>
      <c r="O14" s="315">
        <v>0</v>
      </c>
      <c r="P14" s="326">
        <v>0</v>
      </c>
      <c r="Q14" s="317"/>
      <c r="R14" s="317"/>
      <c r="S14" s="317">
        <v>0</v>
      </c>
      <c r="T14" s="318">
        <v>0</v>
      </c>
      <c r="U14" s="318">
        <v>0</v>
      </c>
      <c r="V14" s="318">
        <v>0</v>
      </c>
      <c r="W14" s="318">
        <v>0</v>
      </c>
      <c r="X14" s="318">
        <v>0</v>
      </c>
      <c r="Y14" s="318">
        <v>0</v>
      </c>
      <c r="Z14" s="318">
        <v>0</v>
      </c>
      <c r="AA14" s="318">
        <v>0</v>
      </c>
      <c r="AB14" s="318">
        <v>0</v>
      </c>
      <c r="AC14" s="318">
        <v>0</v>
      </c>
      <c r="AD14" s="314">
        <f>ROUND(F14*(J14)/$A$5*$B$5,-3)</f>
        <v>5023000</v>
      </c>
      <c r="AE14" s="319">
        <f>ROUND(IF(I14="A",(D14-F14-4500000)*(J14)/$A$5*$B$5,IF(I14="B",(D14-F14-4500000)*0.5*(J14)/$A$5*$B$5,IF(I14="C",0))),-3)</f>
        <v>2473000</v>
      </c>
      <c r="AF14" s="73">
        <f>ROUND(G14*(K14)/$A$5,-3)</f>
        <v>649000</v>
      </c>
      <c r="AG14" s="73"/>
      <c r="AH14" s="73">
        <f t="shared" si="5"/>
        <v>0</v>
      </c>
      <c r="AI14" s="73">
        <f>ROUND(G14*(L14)/$A$5,-3)</f>
        <v>0</v>
      </c>
      <c r="AJ14" s="73">
        <f>ROUND(G14*N14/$A$5*85%,-3)</f>
        <v>0</v>
      </c>
      <c r="AK14" s="320">
        <f t="shared" si="0"/>
        <v>0</v>
      </c>
      <c r="AL14" s="321">
        <f t="shared" si="1"/>
        <v>0</v>
      </c>
      <c r="AM14" s="321">
        <f t="shared" si="2"/>
        <v>0</v>
      </c>
      <c r="AN14" s="321">
        <f t="shared" si="3"/>
        <v>0</v>
      </c>
      <c r="AO14" s="321">
        <f t="shared" si="4"/>
        <v>0</v>
      </c>
      <c r="AP14" s="322"/>
      <c r="AQ14" s="73">
        <v>525000</v>
      </c>
      <c r="AR14" s="73"/>
      <c r="AS14" s="323"/>
      <c r="AT14" s="323"/>
      <c r="AU14" s="323"/>
      <c r="AV14" s="324"/>
      <c r="AW14" s="325">
        <f>ROUND(SUM(AD14:AU14)-AV14,-3)</f>
        <v>8670000</v>
      </c>
      <c r="AX14" s="67">
        <f t="shared" ref="AX14:AX26" si="11">ROUND(IF((AW14-AY14-AZ14-BA14-BM14)*0.5%&lt;234000,(AW14-AY14-AZ14-BA14-BM14)*0.5%,234000),-3)</f>
        <v>39000</v>
      </c>
      <c r="AY14" s="298">
        <v>613200</v>
      </c>
      <c r="AZ14" s="298">
        <v>114975</v>
      </c>
      <c r="BA14" s="298">
        <v>76650</v>
      </c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>
        <v>180000</v>
      </c>
      <c r="BM14" s="73">
        <v>150000</v>
      </c>
      <c r="BN14" s="74">
        <f t="shared" si="7"/>
        <v>1173825</v>
      </c>
      <c r="BO14" s="73"/>
      <c r="BP14" s="73"/>
      <c r="BQ14" s="74">
        <f t="shared" si="8"/>
        <v>7496175</v>
      </c>
      <c r="BR14" s="73">
        <v>100000</v>
      </c>
      <c r="BS14" s="73">
        <v>20</v>
      </c>
      <c r="BT14" s="73">
        <f t="shared" si="10"/>
        <v>660000</v>
      </c>
      <c r="BU14" s="74">
        <f t="shared" si="9"/>
        <v>8256175</v>
      </c>
    </row>
    <row r="15" spans="1:74" s="50" customFormat="1" ht="42.75" customHeight="1" x14ac:dyDescent="0.25">
      <c r="A15" s="299">
        <v>5</v>
      </c>
      <c r="B15" s="301" t="s">
        <v>27</v>
      </c>
      <c r="C15" s="310" t="s">
        <v>24</v>
      </c>
      <c r="D15" s="311">
        <v>14200000</v>
      </c>
      <c r="E15" s="328"/>
      <c r="F15" s="329">
        <v>6500000</v>
      </c>
      <c r="G15" s="312">
        <v>7140000</v>
      </c>
      <c r="H15" s="312"/>
      <c r="I15" s="314" t="s">
        <v>21</v>
      </c>
      <c r="J15" s="315">
        <v>20</v>
      </c>
      <c r="K15" s="315">
        <v>2</v>
      </c>
      <c r="L15" s="315"/>
      <c r="M15" s="315"/>
      <c r="N15" s="315"/>
      <c r="O15" s="315"/>
      <c r="P15" s="326"/>
      <c r="Q15" s="317"/>
      <c r="R15" s="317"/>
      <c r="S15" s="317"/>
      <c r="T15" s="315"/>
      <c r="U15" s="315"/>
      <c r="V15" s="315"/>
      <c r="W15" s="315"/>
      <c r="X15" s="315"/>
      <c r="Y15" s="315"/>
      <c r="Z15" s="316">
        <v>55.400000000000006</v>
      </c>
      <c r="AA15" s="315"/>
      <c r="AB15" s="315"/>
      <c r="AC15" s="315"/>
      <c r="AD15" s="314">
        <f>ROUND(F15*(J15)/$A$5*$B$5,-3)</f>
        <v>5023000</v>
      </c>
      <c r="AE15" s="319">
        <f>ROUND(IF(I15="A",(D15-F15-4500000)*(J15)/$A$5*$B$5,IF(I15="B",(D15-F15-4500000)*0.5*(J15)/$A$5*$B$5,IF(I15="C",0))),-3)</f>
        <v>2473000</v>
      </c>
      <c r="AF15" s="73">
        <f>ROUND(G15*(K15)/$A$5,-3)</f>
        <v>649000</v>
      </c>
      <c r="AG15" s="73"/>
      <c r="AH15" s="73">
        <f t="shared" si="5"/>
        <v>0</v>
      </c>
      <c r="AI15" s="73">
        <f>ROUND(G15*(L15)/$A$5,-3)</f>
        <v>0</v>
      </c>
      <c r="AJ15" s="73">
        <f>ROUND(G15*N15/$A$5*85%,-3)</f>
        <v>0</v>
      </c>
      <c r="AK15" s="320">
        <f t="shared" si="0"/>
        <v>0</v>
      </c>
      <c r="AL15" s="321">
        <f t="shared" si="1"/>
        <v>2382000</v>
      </c>
      <c r="AM15" s="321">
        <f t="shared" si="2"/>
        <v>0</v>
      </c>
      <c r="AN15" s="321">
        <f t="shared" si="3"/>
        <v>0</v>
      </c>
      <c r="AO15" s="321">
        <f t="shared" si="4"/>
        <v>0</v>
      </c>
      <c r="AP15" s="322"/>
      <c r="AQ15" s="73"/>
      <c r="AR15" s="73"/>
      <c r="AS15" s="323"/>
      <c r="AT15" s="323"/>
      <c r="AU15" s="323"/>
      <c r="AV15" s="324"/>
      <c r="AW15" s="325">
        <f>ROUND(SUM(AD15:AU15)-AV15,-3)</f>
        <v>10527000</v>
      </c>
      <c r="AX15" s="67">
        <f t="shared" si="11"/>
        <v>48000</v>
      </c>
      <c r="AY15" s="298">
        <v>571200</v>
      </c>
      <c r="AZ15" s="298">
        <v>107100</v>
      </c>
      <c r="BA15" s="298">
        <v>71400</v>
      </c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>
        <v>100000</v>
      </c>
      <c r="BN15" s="74">
        <f t="shared" si="7"/>
        <v>897700</v>
      </c>
      <c r="BO15" s="73"/>
      <c r="BP15" s="73"/>
      <c r="BQ15" s="74">
        <f t="shared" si="8"/>
        <v>9629300</v>
      </c>
      <c r="BR15" s="73">
        <v>100000</v>
      </c>
      <c r="BS15" s="73">
        <v>20</v>
      </c>
      <c r="BT15" s="73">
        <f t="shared" si="10"/>
        <v>660000</v>
      </c>
      <c r="BU15" s="74">
        <f t="shared" si="9"/>
        <v>10389300</v>
      </c>
    </row>
    <row r="16" spans="1:74" s="50" customFormat="1" ht="42.75" customHeight="1" x14ac:dyDescent="0.25">
      <c r="A16" s="299">
        <v>6</v>
      </c>
      <c r="B16" s="300" t="s">
        <v>45</v>
      </c>
      <c r="C16" s="310" t="s">
        <v>24</v>
      </c>
      <c r="D16" s="311">
        <v>14700000</v>
      </c>
      <c r="E16" s="312"/>
      <c r="F16" s="313">
        <v>6500000</v>
      </c>
      <c r="G16" s="312">
        <v>7510000</v>
      </c>
      <c r="H16" s="312"/>
      <c r="I16" s="314" t="s">
        <v>21</v>
      </c>
      <c r="J16" s="315">
        <v>20</v>
      </c>
      <c r="K16" s="315">
        <v>2</v>
      </c>
      <c r="L16" s="315">
        <v>0</v>
      </c>
      <c r="M16" s="315">
        <v>0</v>
      </c>
      <c r="N16" s="315"/>
      <c r="O16" s="315">
        <v>0</v>
      </c>
      <c r="P16" s="326">
        <v>0</v>
      </c>
      <c r="Q16" s="317"/>
      <c r="R16" s="317"/>
      <c r="S16" s="317">
        <v>0</v>
      </c>
      <c r="T16" s="316">
        <v>0</v>
      </c>
      <c r="U16" s="316">
        <v>0</v>
      </c>
      <c r="V16" s="316">
        <v>0</v>
      </c>
      <c r="W16" s="316"/>
      <c r="X16" s="316">
        <v>7.7833333333333314</v>
      </c>
      <c r="Y16" s="316">
        <v>0</v>
      </c>
      <c r="Z16" s="316">
        <v>0</v>
      </c>
      <c r="AA16" s="316">
        <v>0</v>
      </c>
      <c r="AB16" s="316">
        <v>0</v>
      </c>
      <c r="AC16" s="316">
        <v>0</v>
      </c>
      <c r="AD16" s="314">
        <f t="shared" ref="AD16:AD22" si="12">ROUND(F16*(J16)/$A$5*$B$5,-3)</f>
        <v>5023000</v>
      </c>
      <c r="AE16" s="319">
        <f t="shared" ref="AE16:AE22" si="13">ROUND(IF(I16="A",(D16-F16-4500000)*(J16)/$A$5*$B$5,IF(I16="B",(D16-F16-4500000)*0.5*(J16)/$A$5*$B$5,IF(I16="C",0))),-3)</f>
        <v>2859000</v>
      </c>
      <c r="AF16" s="73">
        <f t="shared" ref="AF16:AF26" si="14">ROUND(G16*(K16)/$A$5,-3)</f>
        <v>683000</v>
      </c>
      <c r="AG16" s="73"/>
      <c r="AH16" s="73">
        <f t="shared" si="5"/>
        <v>0</v>
      </c>
      <c r="AI16" s="73">
        <f t="shared" ref="AI16:AI21" si="15">ROUND(G16*(L16)/$A$5,-3)</f>
        <v>0</v>
      </c>
      <c r="AJ16" s="73">
        <f t="shared" ref="AJ16:AJ26" si="16">ROUND(G16*N16/$A$5*85%,-3)</f>
        <v>0</v>
      </c>
      <c r="AK16" s="320">
        <f t="shared" si="0"/>
        <v>0</v>
      </c>
      <c r="AL16" s="321">
        <f t="shared" si="1"/>
        <v>335000</v>
      </c>
      <c r="AM16" s="321">
        <f t="shared" si="2"/>
        <v>0</v>
      </c>
      <c r="AN16" s="321">
        <f>ROUND((T16*43000+V16*43000),-3)</f>
        <v>0</v>
      </c>
      <c r="AO16" s="321">
        <f t="shared" si="4"/>
        <v>0</v>
      </c>
      <c r="AP16" s="322"/>
      <c r="AQ16" s="330"/>
      <c r="AR16" s="73">
        <f>E16*(J16+K16)/$A$5</f>
        <v>0</v>
      </c>
      <c r="AS16" s="73"/>
      <c r="AT16" s="73"/>
      <c r="AU16" s="73"/>
      <c r="AV16" s="331"/>
      <c r="AW16" s="325">
        <f t="shared" ref="AW16:AW26" si="17">ROUND(SUM(AD16:AU16)-AV16,-3)</f>
        <v>8900000</v>
      </c>
      <c r="AX16" s="67">
        <f t="shared" si="11"/>
        <v>39000</v>
      </c>
      <c r="AY16" s="298">
        <v>600800</v>
      </c>
      <c r="AZ16" s="298">
        <v>112650</v>
      </c>
      <c r="BA16" s="298">
        <v>75100</v>
      </c>
      <c r="BB16" s="73"/>
      <c r="BC16" s="73"/>
      <c r="BD16" s="73"/>
      <c r="BE16" s="73"/>
      <c r="BF16" s="73"/>
      <c r="BG16" s="73"/>
      <c r="BH16" s="73"/>
      <c r="BI16" s="73"/>
      <c r="BJ16" s="73">
        <v>2022000</v>
      </c>
      <c r="BK16" s="73"/>
      <c r="BL16" s="73">
        <v>180000</v>
      </c>
      <c r="BM16" s="73">
        <v>400000</v>
      </c>
      <c r="BN16" s="74">
        <f t="shared" si="7"/>
        <v>3429550</v>
      </c>
      <c r="BO16" s="73"/>
      <c r="BP16" s="73"/>
      <c r="BQ16" s="74">
        <f t="shared" si="8"/>
        <v>5470450</v>
      </c>
      <c r="BR16" s="73">
        <v>100000</v>
      </c>
      <c r="BS16" s="73">
        <v>20</v>
      </c>
      <c r="BT16" s="73">
        <f t="shared" si="10"/>
        <v>660000</v>
      </c>
      <c r="BU16" s="74">
        <f t="shared" si="9"/>
        <v>6230450</v>
      </c>
    </row>
    <row r="17" spans="1:74" s="50" customFormat="1" ht="42.75" customHeight="1" x14ac:dyDescent="0.25">
      <c r="A17" s="299">
        <v>7</v>
      </c>
      <c r="B17" s="300" t="s">
        <v>22</v>
      </c>
      <c r="C17" s="310" t="s">
        <v>53</v>
      </c>
      <c r="D17" s="311">
        <v>14200000</v>
      </c>
      <c r="E17" s="312">
        <v>420000</v>
      </c>
      <c r="F17" s="313">
        <v>6500000</v>
      </c>
      <c r="G17" s="312">
        <v>7140000</v>
      </c>
      <c r="H17" s="312">
        <v>420000</v>
      </c>
      <c r="I17" s="314" t="s">
        <v>21</v>
      </c>
      <c r="J17" s="315">
        <v>19</v>
      </c>
      <c r="K17" s="315">
        <v>2</v>
      </c>
      <c r="L17" s="315">
        <v>0</v>
      </c>
      <c r="M17" s="315">
        <v>0</v>
      </c>
      <c r="N17" s="315"/>
      <c r="O17" s="315">
        <v>0</v>
      </c>
      <c r="P17" s="326">
        <v>95.25</v>
      </c>
      <c r="Q17" s="326"/>
      <c r="R17" s="326"/>
      <c r="S17" s="317">
        <v>1</v>
      </c>
      <c r="T17" s="316">
        <v>0</v>
      </c>
      <c r="U17" s="316">
        <v>0</v>
      </c>
      <c r="V17" s="316">
        <v>0</v>
      </c>
      <c r="W17" s="316"/>
      <c r="X17" s="316">
        <v>0</v>
      </c>
      <c r="Y17" s="316">
        <v>0</v>
      </c>
      <c r="Z17" s="316">
        <v>0</v>
      </c>
      <c r="AA17" s="316">
        <v>0</v>
      </c>
      <c r="AB17" s="316">
        <v>42.833333333333343</v>
      </c>
      <c r="AC17" s="316">
        <v>0</v>
      </c>
      <c r="AD17" s="314">
        <f t="shared" si="12"/>
        <v>4772000</v>
      </c>
      <c r="AE17" s="319">
        <f>ROUND(IF(I17="A",(D17-F17-4500000)*(J17)/$A$5*$B$5,IF(I17="B",(D17-F17-4500000)*0.5*(J17)/$A$5*$B$5,IF(I17="C",0))),-3)</f>
        <v>2349000</v>
      </c>
      <c r="AF17" s="73">
        <f t="shared" si="14"/>
        <v>649000</v>
      </c>
      <c r="AG17" s="73"/>
      <c r="AH17" s="73">
        <f t="shared" si="5"/>
        <v>0</v>
      </c>
      <c r="AI17" s="73">
        <f t="shared" si="15"/>
        <v>0</v>
      </c>
      <c r="AJ17" s="73">
        <f t="shared" si="16"/>
        <v>0</v>
      </c>
      <c r="AK17" s="320">
        <f>ROUND(P17*316000,-3)</f>
        <v>30099000</v>
      </c>
      <c r="AL17" s="321">
        <f t="shared" si="1"/>
        <v>1842000</v>
      </c>
      <c r="AM17" s="321">
        <f t="shared" si="2"/>
        <v>0</v>
      </c>
      <c r="AN17" s="321">
        <f t="shared" si="3"/>
        <v>0</v>
      </c>
      <c r="AO17" s="321">
        <f t="shared" si="4"/>
        <v>0</v>
      </c>
      <c r="AP17" s="322"/>
      <c r="AQ17" s="311">
        <v>420000</v>
      </c>
      <c r="AR17" s="311"/>
      <c r="AS17" s="73"/>
      <c r="AT17" s="73"/>
      <c r="AU17" s="73"/>
      <c r="AV17" s="332"/>
      <c r="AW17" s="325">
        <f t="shared" si="17"/>
        <v>40131000</v>
      </c>
      <c r="AX17" s="67">
        <f t="shared" si="11"/>
        <v>197000</v>
      </c>
      <c r="AY17" s="298">
        <v>604800</v>
      </c>
      <c r="AZ17" s="298">
        <v>113400</v>
      </c>
      <c r="BA17" s="298">
        <v>75600</v>
      </c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>
        <v>180000</v>
      </c>
      <c r="BM17" s="73"/>
      <c r="BN17" s="74">
        <f t="shared" si="7"/>
        <v>1170800</v>
      </c>
      <c r="BO17" s="73"/>
      <c r="BP17" s="73"/>
      <c r="BQ17" s="74">
        <f t="shared" si="8"/>
        <v>38960200</v>
      </c>
      <c r="BR17" s="73">
        <v>100000</v>
      </c>
      <c r="BS17" s="73">
        <v>19</v>
      </c>
      <c r="BT17" s="73">
        <f t="shared" si="10"/>
        <v>627000</v>
      </c>
      <c r="BU17" s="74">
        <f t="shared" si="9"/>
        <v>39687200</v>
      </c>
    </row>
    <row r="18" spans="1:74" s="50" customFormat="1" ht="42.75" customHeight="1" x14ac:dyDescent="0.25">
      <c r="A18" s="299">
        <v>8</v>
      </c>
      <c r="B18" s="302" t="s">
        <v>54</v>
      </c>
      <c r="C18" s="310" t="s">
        <v>24</v>
      </c>
      <c r="D18" s="311">
        <v>13690000</v>
      </c>
      <c r="E18" s="315"/>
      <c r="F18" s="313">
        <v>6500000</v>
      </c>
      <c r="G18" s="312">
        <v>6800000</v>
      </c>
      <c r="H18" s="312"/>
      <c r="I18" s="314" t="s">
        <v>21</v>
      </c>
      <c r="J18" s="315">
        <v>20</v>
      </c>
      <c r="K18" s="315">
        <v>2</v>
      </c>
      <c r="L18" s="315">
        <v>0</v>
      </c>
      <c r="M18" s="315">
        <v>0</v>
      </c>
      <c r="N18" s="315"/>
      <c r="O18" s="315">
        <v>0</v>
      </c>
      <c r="P18" s="326">
        <v>0</v>
      </c>
      <c r="Q18" s="326"/>
      <c r="R18" s="326"/>
      <c r="S18" s="317">
        <v>0</v>
      </c>
      <c r="T18" s="316">
        <v>0</v>
      </c>
      <c r="U18" s="316">
        <v>0</v>
      </c>
      <c r="V18" s="316">
        <v>0</v>
      </c>
      <c r="W18" s="316">
        <v>0</v>
      </c>
      <c r="X18" s="316">
        <v>0</v>
      </c>
      <c r="Y18" s="316">
        <v>0</v>
      </c>
      <c r="Z18" s="316">
        <v>0.93333333333333712</v>
      </c>
      <c r="AA18" s="316">
        <v>0</v>
      </c>
      <c r="AB18" s="316">
        <v>0</v>
      </c>
      <c r="AC18" s="316">
        <v>0</v>
      </c>
      <c r="AD18" s="314">
        <f t="shared" si="12"/>
        <v>5023000</v>
      </c>
      <c r="AE18" s="319">
        <f t="shared" si="13"/>
        <v>2079000</v>
      </c>
      <c r="AF18" s="73">
        <f t="shared" si="14"/>
        <v>618000</v>
      </c>
      <c r="AG18" s="73"/>
      <c r="AH18" s="73">
        <f t="shared" si="5"/>
        <v>0</v>
      </c>
      <c r="AI18" s="73">
        <f t="shared" si="15"/>
        <v>0</v>
      </c>
      <c r="AJ18" s="73">
        <f t="shared" si="16"/>
        <v>0</v>
      </c>
      <c r="AK18" s="320">
        <f>ROUND(P18*316000,-3)+ROUND(O18*316000,-3)</f>
        <v>0</v>
      </c>
      <c r="AL18" s="321">
        <f t="shared" si="1"/>
        <v>40000</v>
      </c>
      <c r="AM18" s="321">
        <f t="shared" si="2"/>
        <v>0</v>
      </c>
      <c r="AN18" s="321">
        <f t="shared" si="3"/>
        <v>0</v>
      </c>
      <c r="AO18" s="321">
        <f t="shared" si="4"/>
        <v>0</v>
      </c>
      <c r="AP18" s="322"/>
      <c r="AQ18" s="330"/>
      <c r="AR18" s="73">
        <f>E18*(J18+K18)/$A$5</f>
        <v>0</v>
      </c>
      <c r="AS18" s="73"/>
      <c r="AT18" s="73"/>
      <c r="AU18" s="73"/>
      <c r="AV18" s="332"/>
      <c r="AW18" s="325">
        <f t="shared" si="17"/>
        <v>7760000</v>
      </c>
      <c r="AX18" s="67">
        <f t="shared" si="11"/>
        <v>35000</v>
      </c>
      <c r="AY18" s="298">
        <v>544000</v>
      </c>
      <c r="AZ18" s="298">
        <v>102000</v>
      </c>
      <c r="BA18" s="298">
        <v>68000</v>
      </c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>
        <v>180000</v>
      </c>
      <c r="BM18" s="73"/>
      <c r="BN18" s="74">
        <f t="shared" si="7"/>
        <v>929000</v>
      </c>
      <c r="BO18" s="73"/>
      <c r="BP18" s="73">
        <v>80000</v>
      </c>
      <c r="BQ18" s="74">
        <f t="shared" si="8"/>
        <v>6911000</v>
      </c>
      <c r="BR18" s="73">
        <v>100000</v>
      </c>
      <c r="BS18" s="73">
        <v>20</v>
      </c>
      <c r="BT18" s="73">
        <f t="shared" si="10"/>
        <v>660000</v>
      </c>
      <c r="BU18" s="74">
        <f t="shared" si="9"/>
        <v>7671000</v>
      </c>
      <c r="BV18" s="51"/>
    </row>
    <row r="19" spans="1:74" s="51" customFormat="1" ht="42.75" customHeight="1" x14ac:dyDescent="0.25">
      <c r="A19" s="299">
        <v>9</v>
      </c>
      <c r="B19" s="302" t="s">
        <v>59</v>
      </c>
      <c r="C19" s="310" t="s">
        <v>24</v>
      </c>
      <c r="D19" s="311">
        <v>14200000</v>
      </c>
      <c r="E19" s="315"/>
      <c r="F19" s="313">
        <v>6500000</v>
      </c>
      <c r="G19" s="312">
        <v>7140000</v>
      </c>
      <c r="H19" s="312"/>
      <c r="I19" s="314" t="s">
        <v>21</v>
      </c>
      <c r="J19" s="315">
        <v>20</v>
      </c>
      <c r="K19" s="315">
        <v>2</v>
      </c>
      <c r="L19" s="315">
        <v>0</v>
      </c>
      <c r="M19" s="315">
        <v>0</v>
      </c>
      <c r="N19" s="315"/>
      <c r="O19" s="315">
        <v>0</v>
      </c>
      <c r="P19" s="326">
        <v>0</v>
      </c>
      <c r="Q19" s="317"/>
      <c r="R19" s="317"/>
      <c r="S19" s="317">
        <v>0</v>
      </c>
      <c r="T19" s="316">
        <v>0</v>
      </c>
      <c r="U19" s="316">
        <v>0</v>
      </c>
      <c r="V19" s="316">
        <v>0</v>
      </c>
      <c r="W19" s="316">
        <v>0</v>
      </c>
      <c r="X19" s="316">
        <v>0</v>
      </c>
      <c r="Y19" s="316">
        <v>0</v>
      </c>
      <c r="Z19" s="316">
        <v>17</v>
      </c>
      <c r="AA19" s="316">
        <v>0</v>
      </c>
      <c r="AB19" s="316">
        <v>16.333333333333343</v>
      </c>
      <c r="AC19" s="316">
        <v>35</v>
      </c>
      <c r="AD19" s="314">
        <f t="shared" si="12"/>
        <v>5023000</v>
      </c>
      <c r="AE19" s="319">
        <f t="shared" si="13"/>
        <v>2473000</v>
      </c>
      <c r="AF19" s="73">
        <f t="shared" si="14"/>
        <v>649000</v>
      </c>
      <c r="AG19" s="73"/>
      <c r="AH19" s="73">
        <f t="shared" si="5"/>
        <v>0</v>
      </c>
      <c r="AI19" s="73">
        <f t="shared" si="15"/>
        <v>0</v>
      </c>
      <c r="AJ19" s="73">
        <f t="shared" si="16"/>
        <v>0</v>
      </c>
      <c r="AK19" s="320">
        <f t="shared" ref="AK19:AK26" si="18">ROUND(P19*316000,-3)</f>
        <v>0</v>
      </c>
      <c r="AL19" s="321">
        <f t="shared" si="1"/>
        <v>1433000</v>
      </c>
      <c r="AM19" s="321">
        <f t="shared" si="2"/>
        <v>1890000</v>
      </c>
      <c r="AN19" s="321">
        <f t="shared" si="3"/>
        <v>0</v>
      </c>
      <c r="AO19" s="321">
        <f t="shared" si="4"/>
        <v>0</v>
      </c>
      <c r="AP19" s="322"/>
      <c r="AQ19" s="330"/>
      <c r="AR19" s="73">
        <f>E19*(J19+K19)/$A$5</f>
        <v>0</v>
      </c>
      <c r="AS19" s="314"/>
      <c r="AT19" s="314"/>
      <c r="AU19" s="314"/>
      <c r="AV19" s="332"/>
      <c r="AW19" s="325">
        <f t="shared" si="17"/>
        <v>11468000</v>
      </c>
      <c r="AX19" s="67">
        <f t="shared" si="11"/>
        <v>54000</v>
      </c>
      <c r="AY19" s="298">
        <v>571200</v>
      </c>
      <c r="AZ19" s="298">
        <v>107100</v>
      </c>
      <c r="BA19" s="298">
        <v>71400</v>
      </c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>
        <v>180000</v>
      </c>
      <c r="BM19" s="73"/>
      <c r="BN19" s="74">
        <f t="shared" si="7"/>
        <v>983700</v>
      </c>
      <c r="BO19" s="73"/>
      <c r="BP19" s="73"/>
      <c r="BQ19" s="74">
        <f t="shared" si="8"/>
        <v>10484300</v>
      </c>
      <c r="BR19" s="73">
        <v>100000</v>
      </c>
      <c r="BS19" s="73">
        <v>20</v>
      </c>
      <c r="BT19" s="73">
        <f t="shared" si="10"/>
        <v>660000</v>
      </c>
      <c r="BU19" s="74">
        <f t="shared" si="9"/>
        <v>11244300</v>
      </c>
    </row>
    <row r="20" spans="1:74" s="51" customFormat="1" ht="42.75" customHeight="1" x14ac:dyDescent="0.25">
      <c r="A20" s="299">
        <v>10</v>
      </c>
      <c r="B20" s="302" t="s">
        <v>60</v>
      </c>
      <c r="C20" s="310" t="s">
        <v>24</v>
      </c>
      <c r="D20" s="311">
        <v>14200000</v>
      </c>
      <c r="E20" s="315"/>
      <c r="F20" s="313">
        <v>6500000</v>
      </c>
      <c r="G20" s="312">
        <v>7140000</v>
      </c>
      <c r="H20" s="312"/>
      <c r="I20" s="314" t="s">
        <v>21</v>
      </c>
      <c r="J20" s="315">
        <v>20</v>
      </c>
      <c r="K20" s="315">
        <v>2</v>
      </c>
      <c r="L20" s="315">
        <v>0</v>
      </c>
      <c r="M20" s="315">
        <v>0</v>
      </c>
      <c r="N20" s="315"/>
      <c r="O20" s="315">
        <v>0</v>
      </c>
      <c r="P20" s="326">
        <v>0</v>
      </c>
      <c r="Q20" s="317"/>
      <c r="R20" s="317"/>
      <c r="S20" s="323">
        <v>0</v>
      </c>
      <c r="T20" s="316">
        <v>0</v>
      </c>
      <c r="U20" s="316">
        <v>0</v>
      </c>
      <c r="V20" s="316">
        <v>0</v>
      </c>
      <c r="W20" s="316">
        <v>0</v>
      </c>
      <c r="X20" s="316">
        <v>0</v>
      </c>
      <c r="Y20" s="316">
        <v>0</v>
      </c>
      <c r="Z20" s="316">
        <v>39.466666666666669</v>
      </c>
      <c r="AA20" s="316">
        <v>0</v>
      </c>
      <c r="AB20" s="316">
        <v>29.599999999999994</v>
      </c>
      <c r="AC20" s="316">
        <v>0</v>
      </c>
      <c r="AD20" s="314">
        <f t="shared" si="12"/>
        <v>5023000</v>
      </c>
      <c r="AE20" s="319">
        <f t="shared" si="13"/>
        <v>2473000</v>
      </c>
      <c r="AF20" s="73">
        <f t="shared" si="14"/>
        <v>649000</v>
      </c>
      <c r="AG20" s="73"/>
      <c r="AH20" s="73">
        <f t="shared" si="5"/>
        <v>0</v>
      </c>
      <c r="AI20" s="73">
        <f t="shared" si="15"/>
        <v>0</v>
      </c>
      <c r="AJ20" s="73">
        <f t="shared" si="16"/>
        <v>0</v>
      </c>
      <c r="AK20" s="320">
        <f t="shared" si="18"/>
        <v>0</v>
      </c>
      <c r="AL20" s="321">
        <f t="shared" si="1"/>
        <v>2970000</v>
      </c>
      <c r="AM20" s="321">
        <f t="shared" si="2"/>
        <v>0</v>
      </c>
      <c r="AN20" s="321">
        <f t="shared" si="3"/>
        <v>0</v>
      </c>
      <c r="AO20" s="321">
        <f t="shared" si="4"/>
        <v>0</v>
      </c>
      <c r="AP20" s="322"/>
      <c r="AQ20" s="330"/>
      <c r="AR20" s="73">
        <f>E20*(J20+K20)/$A$5</f>
        <v>0</v>
      </c>
      <c r="AS20" s="314"/>
      <c r="AT20" s="314"/>
      <c r="AU20" s="314"/>
      <c r="AV20" s="332"/>
      <c r="AW20" s="325">
        <f t="shared" si="17"/>
        <v>11115000</v>
      </c>
      <c r="AX20" s="67">
        <f t="shared" si="11"/>
        <v>52000</v>
      </c>
      <c r="AY20" s="298">
        <v>571200</v>
      </c>
      <c r="AZ20" s="298">
        <v>107100</v>
      </c>
      <c r="BA20" s="298">
        <v>71400</v>
      </c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>
        <v>180000</v>
      </c>
      <c r="BM20" s="73"/>
      <c r="BN20" s="74">
        <f t="shared" si="7"/>
        <v>981700</v>
      </c>
      <c r="BO20" s="73"/>
      <c r="BP20" s="73"/>
      <c r="BQ20" s="74">
        <f t="shared" si="8"/>
        <v>10133300</v>
      </c>
      <c r="BR20" s="73">
        <v>100000</v>
      </c>
      <c r="BS20" s="73">
        <v>20</v>
      </c>
      <c r="BT20" s="73">
        <f t="shared" si="10"/>
        <v>660000</v>
      </c>
      <c r="BU20" s="74">
        <f t="shared" si="9"/>
        <v>10893300</v>
      </c>
    </row>
    <row r="21" spans="1:74" s="51" customFormat="1" ht="42.75" customHeight="1" x14ac:dyDescent="0.25">
      <c r="A21" s="299">
        <v>11</v>
      </c>
      <c r="B21" s="302" t="s">
        <v>62</v>
      </c>
      <c r="C21" s="310" t="s">
        <v>24</v>
      </c>
      <c r="D21" s="311">
        <v>14700000</v>
      </c>
      <c r="E21" s="315"/>
      <c r="F21" s="313">
        <v>6500000</v>
      </c>
      <c r="G21" s="312">
        <v>7510000</v>
      </c>
      <c r="H21" s="312"/>
      <c r="I21" s="314" t="s">
        <v>21</v>
      </c>
      <c r="J21" s="315">
        <v>20</v>
      </c>
      <c r="K21" s="315">
        <v>2</v>
      </c>
      <c r="L21" s="315">
        <v>0</v>
      </c>
      <c r="M21" s="315">
        <v>0</v>
      </c>
      <c r="N21" s="315"/>
      <c r="O21" s="315">
        <v>0</v>
      </c>
      <c r="P21" s="326">
        <v>0</v>
      </c>
      <c r="Q21" s="317"/>
      <c r="R21" s="317"/>
      <c r="S21" s="317">
        <v>0</v>
      </c>
      <c r="T21" s="316">
        <v>0</v>
      </c>
      <c r="U21" s="316">
        <v>0</v>
      </c>
      <c r="V21" s="316">
        <v>0</v>
      </c>
      <c r="W21" s="316">
        <v>0</v>
      </c>
      <c r="X21" s="316">
        <v>0</v>
      </c>
      <c r="Y21" s="316">
        <v>0</v>
      </c>
      <c r="Z21" s="316">
        <v>0</v>
      </c>
      <c r="AA21" s="316">
        <v>0</v>
      </c>
      <c r="AB21" s="316">
        <v>106</v>
      </c>
      <c r="AC21" s="316">
        <v>73.400000000000006</v>
      </c>
      <c r="AD21" s="314">
        <f t="shared" si="12"/>
        <v>5023000</v>
      </c>
      <c r="AE21" s="319">
        <f t="shared" si="13"/>
        <v>2859000</v>
      </c>
      <c r="AF21" s="73">
        <f t="shared" si="14"/>
        <v>683000</v>
      </c>
      <c r="AG21" s="73"/>
      <c r="AH21" s="73">
        <f t="shared" si="5"/>
        <v>0</v>
      </c>
      <c r="AI21" s="73">
        <f t="shared" si="15"/>
        <v>0</v>
      </c>
      <c r="AJ21" s="73">
        <f t="shared" si="16"/>
        <v>0</v>
      </c>
      <c r="AK21" s="320">
        <f t="shared" si="18"/>
        <v>0</v>
      </c>
      <c r="AL21" s="321">
        <f t="shared" si="1"/>
        <v>4558000</v>
      </c>
      <c r="AM21" s="321">
        <f t="shared" si="2"/>
        <v>3964000</v>
      </c>
      <c r="AN21" s="321">
        <f t="shared" si="3"/>
        <v>0</v>
      </c>
      <c r="AO21" s="321">
        <f t="shared" si="4"/>
        <v>0</v>
      </c>
      <c r="AP21" s="322"/>
      <c r="AQ21" s="330"/>
      <c r="AR21" s="73">
        <f>E21*(J21+K21)/$A$5</f>
        <v>0</v>
      </c>
      <c r="AS21" s="314"/>
      <c r="AT21" s="314"/>
      <c r="AU21" s="314"/>
      <c r="AV21" s="332"/>
      <c r="AW21" s="325">
        <f t="shared" si="17"/>
        <v>17087000</v>
      </c>
      <c r="AX21" s="67">
        <f t="shared" si="11"/>
        <v>81000</v>
      </c>
      <c r="AY21" s="298">
        <v>600800</v>
      </c>
      <c r="AZ21" s="298">
        <v>112650</v>
      </c>
      <c r="BA21" s="298">
        <v>75100</v>
      </c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>
        <v>180000</v>
      </c>
      <c r="BM21" s="73"/>
      <c r="BN21" s="74">
        <f t="shared" si="7"/>
        <v>1049550</v>
      </c>
      <c r="BO21" s="73"/>
      <c r="BP21" s="73"/>
      <c r="BQ21" s="74">
        <f t="shared" si="8"/>
        <v>16037450</v>
      </c>
      <c r="BR21" s="73">
        <v>100000</v>
      </c>
      <c r="BS21" s="73">
        <v>20</v>
      </c>
      <c r="BT21" s="73">
        <f t="shared" si="10"/>
        <v>660000</v>
      </c>
      <c r="BU21" s="74">
        <f t="shared" si="9"/>
        <v>16797450</v>
      </c>
    </row>
    <row r="22" spans="1:74" s="51" customFormat="1" ht="42.75" customHeight="1" x14ac:dyDescent="0.25">
      <c r="A22" s="299">
        <v>12</v>
      </c>
      <c r="B22" s="302" t="s">
        <v>107</v>
      </c>
      <c r="C22" s="310" t="s">
        <v>136</v>
      </c>
      <c r="D22" s="311">
        <v>13690000</v>
      </c>
      <c r="E22" s="315"/>
      <c r="F22" s="313">
        <v>6500000</v>
      </c>
      <c r="G22" s="312">
        <v>6800000</v>
      </c>
      <c r="H22" s="312"/>
      <c r="I22" s="314" t="s">
        <v>21</v>
      </c>
      <c r="J22" s="315">
        <v>20</v>
      </c>
      <c r="K22" s="315">
        <v>2</v>
      </c>
      <c r="L22" s="315">
        <v>0</v>
      </c>
      <c r="M22" s="315">
        <v>0</v>
      </c>
      <c r="N22" s="315"/>
      <c r="O22" s="315"/>
      <c r="P22" s="326">
        <v>80.75</v>
      </c>
      <c r="Q22" s="317"/>
      <c r="R22" s="317"/>
      <c r="S22" s="317">
        <v>0</v>
      </c>
      <c r="T22" s="316">
        <v>0</v>
      </c>
      <c r="U22" s="316">
        <v>0</v>
      </c>
      <c r="V22" s="316">
        <v>0</v>
      </c>
      <c r="W22" s="316">
        <v>0</v>
      </c>
      <c r="X22" s="316">
        <v>0</v>
      </c>
      <c r="Y22" s="316">
        <v>0</v>
      </c>
      <c r="Z22" s="316">
        <v>0</v>
      </c>
      <c r="AA22" s="316">
        <v>0</v>
      </c>
      <c r="AB22" s="316">
        <v>0</v>
      </c>
      <c r="AC22" s="316">
        <v>0</v>
      </c>
      <c r="AD22" s="314">
        <f t="shared" si="12"/>
        <v>5023000</v>
      </c>
      <c r="AE22" s="319">
        <f t="shared" si="13"/>
        <v>2079000</v>
      </c>
      <c r="AF22" s="73">
        <f>ROUND(G22*(K22)/$A$5,-3)</f>
        <v>618000</v>
      </c>
      <c r="AG22" s="73"/>
      <c r="AH22" s="73">
        <f t="shared" si="5"/>
        <v>0</v>
      </c>
      <c r="AI22" s="73">
        <f>ROUND(G22*(L22)/$A$5,-3)</f>
        <v>0</v>
      </c>
      <c r="AJ22" s="73">
        <f>ROUND(G22*N22/$A$5*85%,-3)</f>
        <v>0</v>
      </c>
      <c r="AK22" s="320">
        <f t="shared" si="18"/>
        <v>25517000</v>
      </c>
      <c r="AL22" s="321">
        <f t="shared" si="1"/>
        <v>0</v>
      </c>
      <c r="AM22" s="321">
        <f t="shared" si="2"/>
        <v>0</v>
      </c>
      <c r="AN22" s="321">
        <f t="shared" si="3"/>
        <v>0</v>
      </c>
      <c r="AO22" s="321">
        <f t="shared" si="4"/>
        <v>0</v>
      </c>
      <c r="AP22" s="322"/>
      <c r="AQ22" s="330"/>
      <c r="AR22" s="73"/>
      <c r="AS22" s="314"/>
      <c r="AT22" s="314"/>
      <c r="AU22" s="314"/>
      <c r="AV22" s="332"/>
      <c r="AW22" s="325">
        <f t="shared" si="17"/>
        <v>33237000</v>
      </c>
      <c r="AX22" s="67">
        <f t="shared" si="11"/>
        <v>163000</v>
      </c>
      <c r="AY22" s="298">
        <v>544000</v>
      </c>
      <c r="AZ22" s="298">
        <v>102000</v>
      </c>
      <c r="BA22" s="298">
        <v>68000</v>
      </c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>
        <v>180000</v>
      </c>
      <c r="BM22" s="73"/>
      <c r="BN22" s="74">
        <f t="shared" si="7"/>
        <v>1057000</v>
      </c>
      <c r="BO22" s="73"/>
      <c r="BP22" s="73"/>
      <c r="BQ22" s="74">
        <f t="shared" si="8"/>
        <v>32180000</v>
      </c>
      <c r="BR22" s="73">
        <v>100000</v>
      </c>
      <c r="BS22" s="73">
        <v>20</v>
      </c>
      <c r="BT22" s="73">
        <f t="shared" si="10"/>
        <v>660000</v>
      </c>
      <c r="BU22" s="74">
        <f t="shared" si="9"/>
        <v>32940000</v>
      </c>
      <c r="BV22" s="50"/>
    </row>
    <row r="23" spans="1:74" s="50" customFormat="1" ht="42.75" customHeight="1" x14ac:dyDescent="0.25">
      <c r="A23" s="299">
        <v>13</v>
      </c>
      <c r="B23" s="300" t="s">
        <v>46</v>
      </c>
      <c r="C23" s="310" t="s">
        <v>24</v>
      </c>
      <c r="D23" s="311">
        <v>14700000</v>
      </c>
      <c r="E23" s="312"/>
      <c r="F23" s="313">
        <v>6500000</v>
      </c>
      <c r="G23" s="312">
        <v>7510000</v>
      </c>
      <c r="H23" s="312"/>
      <c r="I23" s="314" t="s">
        <v>21</v>
      </c>
      <c r="J23" s="315">
        <v>20</v>
      </c>
      <c r="K23" s="315">
        <v>2</v>
      </c>
      <c r="L23" s="315">
        <v>0</v>
      </c>
      <c r="M23" s="315">
        <v>0</v>
      </c>
      <c r="N23" s="315"/>
      <c r="O23" s="315">
        <v>0</v>
      </c>
      <c r="P23" s="326">
        <v>0</v>
      </c>
      <c r="Q23" s="317"/>
      <c r="R23" s="317"/>
      <c r="S23" s="317">
        <v>0</v>
      </c>
      <c r="T23" s="316">
        <v>0</v>
      </c>
      <c r="U23" s="316">
        <v>0</v>
      </c>
      <c r="V23" s="316">
        <v>0</v>
      </c>
      <c r="W23" s="316">
        <v>0</v>
      </c>
      <c r="X23" s="316">
        <v>0</v>
      </c>
      <c r="Y23" s="316">
        <v>0</v>
      </c>
      <c r="Z23" s="316">
        <v>91</v>
      </c>
      <c r="AA23" s="316">
        <v>0</v>
      </c>
      <c r="AB23" s="316">
        <v>30</v>
      </c>
      <c r="AC23" s="316">
        <v>0</v>
      </c>
      <c r="AD23" s="314">
        <f>ROUND(F23*(J23)/$A$5*$B$5,-3)</f>
        <v>5023000</v>
      </c>
      <c r="AE23" s="319">
        <f>ROUND(IF(I23="A",(D23-F23-4500000)*(J23)/$A$5*$B$5,IF(I23="B",(D23-F23-4500000)*0.5*(J23)/$A$5*$B$5,IF(I23="C",0))),-3)</f>
        <v>2859000</v>
      </c>
      <c r="AF23" s="73">
        <f>ROUND(G23*(K23)/$A$5,-3)</f>
        <v>683000</v>
      </c>
      <c r="AG23" s="73"/>
      <c r="AH23" s="73"/>
      <c r="AI23" s="73">
        <f>ROUND(G23*(L23)/$A$5,-3)</f>
        <v>0</v>
      </c>
      <c r="AJ23" s="73"/>
      <c r="AK23" s="320">
        <f>ROUND(P23*316000,-3)</f>
        <v>0</v>
      </c>
      <c r="AL23" s="321">
        <f>ROUND((X23*43000+Z23*43000+AB23*43000),-3)</f>
        <v>5203000</v>
      </c>
      <c r="AM23" s="321">
        <f>ROUND((AC23*54000+AA23*54000+Y23*57000),-3)</f>
        <v>0</v>
      </c>
      <c r="AN23" s="321">
        <f>ROUND((T23*43000+V23*43000),-3)</f>
        <v>0</v>
      </c>
      <c r="AO23" s="321">
        <f>ROUND((U23*48600+W23*52000),-3)</f>
        <v>0</v>
      </c>
      <c r="AP23" s="322"/>
      <c r="AQ23" s="330"/>
      <c r="AR23" s="73"/>
      <c r="AS23" s="73"/>
      <c r="AT23" s="73"/>
      <c r="AU23" s="73"/>
      <c r="AV23" s="331"/>
      <c r="AW23" s="325">
        <f>ROUND(SUM(AD23:AU23)-AV23,-3)</f>
        <v>13768000</v>
      </c>
      <c r="AX23" s="67">
        <f>ROUND(IF((AW23-AY23-AZ23-BA23-BM23)*0.5%&lt;234000,(AW23-AY23-AZ23-BA23-BM23)*0.5%,234000),-3)</f>
        <v>65000</v>
      </c>
      <c r="AY23" s="298">
        <v>600800</v>
      </c>
      <c r="AZ23" s="298">
        <v>112650</v>
      </c>
      <c r="BA23" s="298">
        <v>75100</v>
      </c>
      <c r="BB23" s="73"/>
      <c r="BC23" s="73"/>
      <c r="BD23" s="73"/>
      <c r="BE23" s="73"/>
      <c r="BF23" s="73"/>
      <c r="BG23" s="73"/>
      <c r="BH23" s="73"/>
      <c r="BI23" s="73"/>
      <c r="BJ23" s="73"/>
      <c r="BK23" s="73">
        <v>1721400</v>
      </c>
      <c r="BL23" s="73">
        <v>180000</v>
      </c>
      <c r="BM23" s="73"/>
      <c r="BN23" s="74">
        <f t="shared" si="7"/>
        <v>2754950</v>
      </c>
      <c r="BO23" s="73"/>
      <c r="BP23" s="73"/>
      <c r="BQ23" s="74">
        <f t="shared" si="8"/>
        <v>11013050</v>
      </c>
      <c r="BR23" s="73">
        <v>100000</v>
      </c>
      <c r="BS23" s="73">
        <v>20</v>
      </c>
      <c r="BT23" s="73">
        <f t="shared" si="10"/>
        <v>660000</v>
      </c>
      <c r="BU23" s="74">
        <f t="shared" si="9"/>
        <v>11773050</v>
      </c>
    </row>
    <row r="24" spans="1:74" s="50" customFormat="1" ht="42.75" customHeight="1" x14ac:dyDescent="0.25">
      <c r="A24" s="299">
        <v>14</v>
      </c>
      <c r="B24" s="300" t="s">
        <v>28</v>
      </c>
      <c r="C24" s="310" t="s">
        <v>57</v>
      </c>
      <c r="D24" s="315">
        <v>9160000</v>
      </c>
      <c r="E24" s="315"/>
      <c r="F24" s="313">
        <v>6500000</v>
      </c>
      <c r="G24" s="312">
        <v>6450000</v>
      </c>
      <c r="H24" s="312"/>
      <c r="I24" s="314" t="s">
        <v>21</v>
      </c>
      <c r="J24" s="315">
        <v>20</v>
      </c>
      <c r="K24" s="315">
        <v>2</v>
      </c>
      <c r="L24" s="315">
        <v>0</v>
      </c>
      <c r="M24" s="315">
        <v>0</v>
      </c>
      <c r="N24" s="315"/>
      <c r="O24" s="315">
        <v>0</v>
      </c>
      <c r="P24" s="326">
        <v>76.5</v>
      </c>
      <c r="Q24" s="317"/>
      <c r="R24" s="317"/>
      <c r="S24" s="317">
        <v>0</v>
      </c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4">
        <f>ROUND(F24*(J24)/$A$5,-3)</f>
        <v>5909000</v>
      </c>
      <c r="AE24" s="319">
        <f>ROUND(IF(I24="A",(D24-F24)*(J24)/$A$5,IF(I24="B",(D24-F24)*0.5*(J24)/$A$5*$B$5,IF(I24="C",0))),-3)</f>
        <v>2418000</v>
      </c>
      <c r="AF24" s="73">
        <f t="shared" si="14"/>
        <v>586000</v>
      </c>
      <c r="AG24" s="73"/>
      <c r="AH24" s="73">
        <f t="shared" si="5"/>
        <v>0</v>
      </c>
      <c r="AI24" s="73">
        <f>ROUND(G24*(L24)/$A$5,-3)</f>
        <v>0</v>
      </c>
      <c r="AJ24" s="73">
        <f t="shared" si="16"/>
        <v>0</v>
      </c>
      <c r="AK24" s="320">
        <f t="shared" si="18"/>
        <v>24174000</v>
      </c>
      <c r="AL24" s="321">
        <f>ROUND((X24*39000+Z24*39000+AB24*39000),-3)</f>
        <v>0</v>
      </c>
      <c r="AM24" s="321">
        <f>ROUND((AC24*52000+AA24*48600+Y24*52000),-3)</f>
        <v>0</v>
      </c>
      <c r="AN24" s="321">
        <f>ROUND((T24*39000+V24*39000),-3)</f>
        <v>0</v>
      </c>
      <c r="AO24" s="321">
        <f t="shared" si="4"/>
        <v>0</v>
      </c>
      <c r="AP24" s="322"/>
      <c r="AQ24" s="330"/>
      <c r="AR24" s="73">
        <f>E24*(J24+K24)/$A$5</f>
        <v>0</v>
      </c>
      <c r="AS24" s="73"/>
      <c r="AT24" s="73"/>
      <c r="AU24" s="73"/>
      <c r="AV24" s="332"/>
      <c r="AW24" s="325">
        <f t="shared" si="17"/>
        <v>33087000</v>
      </c>
      <c r="AX24" s="67">
        <f t="shared" si="11"/>
        <v>162000</v>
      </c>
      <c r="AY24" s="298">
        <v>516000</v>
      </c>
      <c r="AZ24" s="298">
        <v>96750</v>
      </c>
      <c r="BA24" s="298">
        <v>64500</v>
      </c>
      <c r="BB24" s="73"/>
      <c r="BC24" s="73"/>
      <c r="BD24" s="73"/>
      <c r="BE24" s="73"/>
      <c r="BF24" s="73"/>
      <c r="BG24" s="73"/>
      <c r="BH24" s="73"/>
      <c r="BI24" s="73"/>
      <c r="BJ24" s="73"/>
      <c r="BK24" s="73">
        <v>1721400</v>
      </c>
      <c r="BL24" s="73">
        <v>180000</v>
      </c>
      <c r="BM24" s="73"/>
      <c r="BN24" s="74">
        <f t="shared" si="7"/>
        <v>2740650</v>
      </c>
      <c r="BO24" s="73"/>
      <c r="BP24" s="73"/>
      <c r="BQ24" s="74">
        <f t="shared" si="8"/>
        <v>30346350</v>
      </c>
      <c r="BR24" s="73">
        <v>100000</v>
      </c>
      <c r="BS24" s="73">
        <v>20</v>
      </c>
      <c r="BT24" s="73">
        <f t="shared" si="10"/>
        <v>660000</v>
      </c>
      <c r="BU24" s="74">
        <f t="shared" si="9"/>
        <v>31106350</v>
      </c>
    </row>
    <row r="25" spans="1:74" s="50" customFormat="1" ht="42.75" customHeight="1" x14ac:dyDescent="0.25">
      <c r="A25" s="299">
        <v>15</v>
      </c>
      <c r="B25" s="302" t="s">
        <v>48</v>
      </c>
      <c r="C25" s="310" t="s">
        <v>57</v>
      </c>
      <c r="D25" s="315">
        <v>8740000</v>
      </c>
      <c r="E25" s="315"/>
      <c r="F25" s="313">
        <v>6500000</v>
      </c>
      <c r="G25" s="312">
        <v>6140000</v>
      </c>
      <c r="H25" s="312"/>
      <c r="I25" s="314" t="s">
        <v>21</v>
      </c>
      <c r="J25" s="315">
        <v>20</v>
      </c>
      <c r="K25" s="315">
        <v>2</v>
      </c>
      <c r="L25" s="315">
        <v>0</v>
      </c>
      <c r="M25" s="315">
        <v>0</v>
      </c>
      <c r="N25" s="315"/>
      <c r="O25" s="315"/>
      <c r="P25" s="326">
        <v>74.5</v>
      </c>
      <c r="Q25" s="317"/>
      <c r="R25" s="317"/>
      <c r="S25" s="317">
        <v>0</v>
      </c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4">
        <f>ROUND(F25*(J25)/$A$5,-3)</f>
        <v>5909000</v>
      </c>
      <c r="AE25" s="319">
        <f>ROUND(IF(I25="A",(D25-F25)*(J25)/$A$5,IF(I25="B",(D25-F25)*0.5*(J25)/$A$5*$B$5,IF(I25="C",0))),-3)</f>
        <v>2036000</v>
      </c>
      <c r="AF25" s="73">
        <f t="shared" si="14"/>
        <v>558000</v>
      </c>
      <c r="AG25" s="73"/>
      <c r="AH25" s="73">
        <f t="shared" si="5"/>
        <v>0</v>
      </c>
      <c r="AI25" s="73">
        <f>ROUND(G25*(L25)/$A$5,-3)</f>
        <v>0</v>
      </c>
      <c r="AJ25" s="73">
        <f t="shared" si="16"/>
        <v>0</v>
      </c>
      <c r="AK25" s="320">
        <f t="shared" si="18"/>
        <v>23542000</v>
      </c>
      <c r="AL25" s="321">
        <f>ROUND((X25*39000+Z25*39000+AB25*39000),-3)</f>
        <v>0</v>
      </c>
      <c r="AM25" s="321">
        <f>ROUND((AC25*52000+AA25*48600+Y25*52000),-3)</f>
        <v>0</v>
      </c>
      <c r="AN25" s="321">
        <f>ROUND((T25*39000+V25*39000),-3)</f>
        <v>0</v>
      </c>
      <c r="AO25" s="321">
        <f t="shared" si="4"/>
        <v>0</v>
      </c>
      <c r="AP25" s="322"/>
      <c r="AQ25" s="327"/>
      <c r="AR25" s="73">
        <f>E25*(J25+K25)/$A$5</f>
        <v>0</v>
      </c>
      <c r="AS25" s="73"/>
      <c r="AT25" s="73"/>
      <c r="AU25" s="73"/>
      <c r="AV25" s="332"/>
      <c r="AW25" s="325">
        <f t="shared" si="17"/>
        <v>32045000</v>
      </c>
      <c r="AX25" s="67">
        <f t="shared" si="11"/>
        <v>156000</v>
      </c>
      <c r="AY25" s="298">
        <v>491200</v>
      </c>
      <c r="AZ25" s="298">
        <v>92100</v>
      </c>
      <c r="BA25" s="298">
        <v>61400</v>
      </c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>
        <v>180000</v>
      </c>
      <c r="BM25" s="73">
        <v>150000</v>
      </c>
      <c r="BN25" s="74">
        <f t="shared" si="7"/>
        <v>1130700</v>
      </c>
      <c r="BO25" s="73"/>
      <c r="BP25" s="73"/>
      <c r="BQ25" s="74">
        <f t="shared" si="8"/>
        <v>30914300</v>
      </c>
      <c r="BR25" s="73">
        <v>100000</v>
      </c>
      <c r="BS25" s="73">
        <v>20</v>
      </c>
      <c r="BT25" s="73">
        <f t="shared" si="10"/>
        <v>660000</v>
      </c>
      <c r="BU25" s="74">
        <f t="shared" si="9"/>
        <v>31674300</v>
      </c>
    </row>
    <row r="26" spans="1:74" s="50" customFormat="1" ht="42.75" customHeight="1" x14ac:dyDescent="0.25">
      <c r="A26" s="307">
        <v>16</v>
      </c>
      <c r="B26" s="308" t="s">
        <v>55</v>
      </c>
      <c r="C26" s="333" t="s">
        <v>57</v>
      </c>
      <c r="D26" s="334">
        <v>8740000</v>
      </c>
      <c r="E26" s="334"/>
      <c r="F26" s="335">
        <v>6500000</v>
      </c>
      <c r="G26" s="336">
        <v>6140000</v>
      </c>
      <c r="H26" s="336"/>
      <c r="I26" s="337" t="s">
        <v>21</v>
      </c>
      <c r="J26" s="334">
        <v>18</v>
      </c>
      <c r="K26" s="334">
        <v>2</v>
      </c>
      <c r="L26" s="334">
        <v>0</v>
      </c>
      <c r="M26" s="334">
        <v>0</v>
      </c>
      <c r="N26" s="334"/>
      <c r="O26" s="334">
        <v>0</v>
      </c>
      <c r="P26" s="338">
        <v>74.25</v>
      </c>
      <c r="Q26" s="339"/>
      <c r="R26" s="339"/>
      <c r="S26" s="339">
        <v>2</v>
      </c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37">
        <f>ROUND(F26*(J26)/$A$5,-3)</f>
        <v>5318000</v>
      </c>
      <c r="AE26" s="341">
        <f>ROUND(IF(I26="A",(D26-F26)*(J26)/$A$5,IF(I26="B",(D26-F26)*0.5*(J26)/$A$5*$B$5,IF(I26="C",0))),-3)</f>
        <v>1833000</v>
      </c>
      <c r="AF26" s="305">
        <f t="shared" si="14"/>
        <v>558000</v>
      </c>
      <c r="AG26" s="305"/>
      <c r="AH26" s="305">
        <f t="shared" si="5"/>
        <v>0</v>
      </c>
      <c r="AI26" s="305">
        <f>ROUND(G26*(L26)/$A$5,-3)</f>
        <v>0</v>
      </c>
      <c r="AJ26" s="305">
        <f t="shared" si="16"/>
        <v>0</v>
      </c>
      <c r="AK26" s="342">
        <f t="shared" si="18"/>
        <v>23463000</v>
      </c>
      <c r="AL26" s="343">
        <f>ROUND((X26*39000+Z26*39000+AB26*39000),-3)</f>
        <v>0</v>
      </c>
      <c r="AM26" s="343">
        <f>ROUND((AC26*52000+AA26*48600+Y26*52000),-3)</f>
        <v>0</v>
      </c>
      <c r="AN26" s="343">
        <f>ROUND((T26*39000+V26*39000),-3)</f>
        <v>0</v>
      </c>
      <c r="AO26" s="343">
        <f t="shared" si="4"/>
        <v>0</v>
      </c>
      <c r="AP26" s="344"/>
      <c r="AQ26" s="345"/>
      <c r="AR26" s="305">
        <f>E26*(J26+K26)/$A$5</f>
        <v>0</v>
      </c>
      <c r="AS26" s="337"/>
      <c r="AT26" s="337"/>
      <c r="AU26" s="337"/>
      <c r="AV26" s="346"/>
      <c r="AW26" s="347">
        <f t="shared" si="17"/>
        <v>31172000</v>
      </c>
      <c r="AX26" s="303">
        <f t="shared" si="11"/>
        <v>152000</v>
      </c>
      <c r="AY26" s="304">
        <v>491200</v>
      </c>
      <c r="AZ26" s="304">
        <v>92100</v>
      </c>
      <c r="BA26" s="304">
        <v>61400</v>
      </c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>
        <v>180000</v>
      </c>
      <c r="BM26" s="305">
        <v>120000</v>
      </c>
      <c r="BN26" s="306">
        <f t="shared" si="7"/>
        <v>1096700</v>
      </c>
      <c r="BO26" s="305"/>
      <c r="BP26" s="305"/>
      <c r="BQ26" s="306">
        <f t="shared" si="8"/>
        <v>30075300</v>
      </c>
      <c r="BR26" s="305">
        <v>100000</v>
      </c>
      <c r="BS26" s="305">
        <v>18</v>
      </c>
      <c r="BT26" s="305">
        <f t="shared" si="10"/>
        <v>594000</v>
      </c>
      <c r="BU26" s="306">
        <f t="shared" si="9"/>
        <v>30769300</v>
      </c>
      <c r="BV26" s="47"/>
    </row>
    <row r="27" spans="1:74" s="52" customFormat="1" ht="42.75" customHeight="1" x14ac:dyDescent="0.25">
      <c r="A27" s="309"/>
      <c r="B27" s="309" t="s">
        <v>29</v>
      </c>
      <c r="C27" s="348"/>
      <c r="D27" s="349">
        <f t="shared" ref="D27:BO27" si="19">SUM(D11:D26)</f>
        <v>215260000</v>
      </c>
      <c r="E27" s="349">
        <f t="shared" si="19"/>
        <v>1470000</v>
      </c>
      <c r="F27" s="349">
        <f t="shared" si="19"/>
        <v>104000000</v>
      </c>
      <c r="G27" s="349">
        <f t="shared" si="19"/>
        <v>115510000</v>
      </c>
      <c r="H27" s="349">
        <f t="shared" si="19"/>
        <v>1470000</v>
      </c>
      <c r="I27" s="349">
        <f t="shared" si="19"/>
        <v>0</v>
      </c>
      <c r="J27" s="349">
        <f t="shared" si="19"/>
        <v>317</v>
      </c>
      <c r="K27" s="349">
        <f t="shared" si="19"/>
        <v>32</v>
      </c>
      <c r="L27" s="349">
        <f t="shared" si="19"/>
        <v>0</v>
      </c>
      <c r="M27" s="349">
        <f t="shared" si="19"/>
        <v>0</v>
      </c>
      <c r="N27" s="349">
        <f t="shared" si="19"/>
        <v>0</v>
      </c>
      <c r="O27" s="349">
        <f t="shared" si="19"/>
        <v>0</v>
      </c>
      <c r="P27" s="349">
        <f t="shared" si="19"/>
        <v>438</v>
      </c>
      <c r="Q27" s="349">
        <f t="shared" si="19"/>
        <v>0</v>
      </c>
      <c r="R27" s="349">
        <f t="shared" si="19"/>
        <v>0</v>
      </c>
      <c r="S27" s="350">
        <f t="shared" si="19"/>
        <v>3</v>
      </c>
      <c r="T27" s="349">
        <f t="shared" si="19"/>
        <v>0</v>
      </c>
      <c r="U27" s="349">
        <f t="shared" si="19"/>
        <v>0</v>
      </c>
      <c r="V27" s="349">
        <f t="shared" si="19"/>
        <v>0</v>
      </c>
      <c r="W27" s="349">
        <f t="shared" si="19"/>
        <v>0</v>
      </c>
      <c r="X27" s="350">
        <f t="shared" si="19"/>
        <v>7.7833333333333314</v>
      </c>
      <c r="Y27" s="349">
        <f t="shared" si="19"/>
        <v>0</v>
      </c>
      <c r="Z27" s="350">
        <f t="shared" si="19"/>
        <v>221.76666666666668</v>
      </c>
      <c r="AA27" s="349">
        <f t="shared" si="19"/>
        <v>0</v>
      </c>
      <c r="AB27" s="350">
        <f t="shared" si="19"/>
        <v>313.33333333333337</v>
      </c>
      <c r="AC27" s="349">
        <f t="shared" si="19"/>
        <v>108.4</v>
      </c>
      <c r="AD27" s="349">
        <f t="shared" si="19"/>
        <v>83661000</v>
      </c>
      <c r="AE27" s="349">
        <f t="shared" si="19"/>
        <v>47221000</v>
      </c>
      <c r="AF27" s="349">
        <f t="shared" si="19"/>
        <v>9598000</v>
      </c>
      <c r="AG27" s="349">
        <f t="shared" si="19"/>
        <v>0</v>
      </c>
      <c r="AH27" s="349">
        <f t="shared" si="19"/>
        <v>0</v>
      </c>
      <c r="AI27" s="349">
        <f t="shared" si="19"/>
        <v>0</v>
      </c>
      <c r="AJ27" s="349">
        <f t="shared" si="19"/>
        <v>0</v>
      </c>
      <c r="AK27" s="349">
        <f t="shared" si="19"/>
        <v>138408000</v>
      </c>
      <c r="AL27" s="349">
        <f t="shared" si="19"/>
        <v>23344000</v>
      </c>
      <c r="AM27" s="349">
        <f t="shared" si="19"/>
        <v>5854000</v>
      </c>
      <c r="AN27" s="349">
        <f t="shared" si="19"/>
        <v>0</v>
      </c>
      <c r="AO27" s="349">
        <f t="shared" si="19"/>
        <v>0</v>
      </c>
      <c r="AP27" s="349">
        <f t="shared" si="19"/>
        <v>0</v>
      </c>
      <c r="AQ27" s="349">
        <f t="shared" si="19"/>
        <v>1470000</v>
      </c>
      <c r="AR27" s="349">
        <f t="shared" si="19"/>
        <v>0</v>
      </c>
      <c r="AS27" s="349">
        <f t="shared" si="19"/>
        <v>0</v>
      </c>
      <c r="AT27" s="349">
        <f t="shared" si="19"/>
        <v>0</v>
      </c>
      <c r="AU27" s="349">
        <f t="shared" si="19"/>
        <v>0</v>
      </c>
      <c r="AV27" s="349">
        <f t="shared" si="19"/>
        <v>0</v>
      </c>
      <c r="AW27" s="349">
        <f t="shared" si="19"/>
        <v>309556000</v>
      </c>
      <c r="AX27" s="349">
        <f t="shared" si="19"/>
        <v>1481000</v>
      </c>
      <c r="AY27" s="349">
        <f t="shared" si="19"/>
        <v>9358400</v>
      </c>
      <c r="AZ27" s="349">
        <f t="shared" si="19"/>
        <v>1754700</v>
      </c>
      <c r="BA27" s="349">
        <f t="shared" si="19"/>
        <v>1169800</v>
      </c>
      <c r="BB27" s="349">
        <f t="shared" si="19"/>
        <v>0</v>
      </c>
      <c r="BC27" s="349">
        <f t="shared" si="19"/>
        <v>0</v>
      </c>
      <c r="BD27" s="349">
        <f t="shared" si="19"/>
        <v>0</v>
      </c>
      <c r="BE27" s="349">
        <f t="shared" si="19"/>
        <v>0</v>
      </c>
      <c r="BF27" s="349">
        <f t="shared" si="19"/>
        <v>0</v>
      </c>
      <c r="BG27" s="349">
        <f t="shared" si="19"/>
        <v>0</v>
      </c>
      <c r="BH27" s="349">
        <f t="shared" si="19"/>
        <v>0</v>
      </c>
      <c r="BI27" s="349">
        <f t="shared" si="19"/>
        <v>0</v>
      </c>
      <c r="BJ27" s="349">
        <f t="shared" si="19"/>
        <v>2022000</v>
      </c>
      <c r="BK27" s="349">
        <f t="shared" si="19"/>
        <v>3442800</v>
      </c>
      <c r="BL27" s="349">
        <f t="shared" si="19"/>
        <v>2700000</v>
      </c>
      <c r="BM27" s="349">
        <f t="shared" si="19"/>
        <v>1120000</v>
      </c>
      <c r="BN27" s="349">
        <f t="shared" si="19"/>
        <v>23048700</v>
      </c>
      <c r="BO27" s="349">
        <f t="shared" si="19"/>
        <v>0</v>
      </c>
      <c r="BP27" s="349">
        <f t="shared" ref="BP27:BU27" si="20">SUM(BP11:BP26)</f>
        <v>160000</v>
      </c>
      <c r="BQ27" s="349">
        <f t="shared" si="20"/>
        <v>286667300</v>
      </c>
      <c r="BR27" s="349">
        <f t="shared" si="20"/>
        <v>1600000</v>
      </c>
      <c r="BS27" s="349">
        <f t="shared" si="20"/>
        <v>317</v>
      </c>
      <c r="BT27" s="349">
        <f t="shared" si="20"/>
        <v>10461000</v>
      </c>
      <c r="BU27" s="349">
        <f t="shared" si="20"/>
        <v>298728300</v>
      </c>
    </row>
    <row r="28" spans="1:74" ht="34.5" customHeight="1" x14ac:dyDescent="0.25"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47"/>
      <c r="BJ28" s="17"/>
      <c r="BK28" s="17"/>
      <c r="BL28" s="17"/>
      <c r="BM28" s="17"/>
      <c r="BN28" s="147">
        <f>BN27-'[1]T4.26 '!$AU$40</f>
        <v>0</v>
      </c>
      <c r="BO28" s="17"/>
      <c r="BP28" s="17"/>
      <c r="BQ28" s="147"/>
      <c r="BR28" s="17"/>
      <c r="BS28" s="17"/>
      <c r="BT28" s="17"/>
      <c r="BU28" s="17"/>
    </row>
    <row r="29" spans="1:74" ht="34.5" customHeight="1" x14ac:dyDescent="0.25">
      <c r="AX29" s="47"/>
      <c r="AY29" s="47"/>
      <c r="AZ29" s="47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4">
        <f>BQ27+BN27-BO27</f>
        <v>309716000</v>
      </c>
      <c r="BR29" s="153"/>
      <c r="BS29" s="153"/>
      <c r="BT29" s="153"/>
      <c r="BU29" s="154">
        <f>BU27-BT27-BQ27</f>
        <v>1600000</v>
      </c>
    </row>
    <row r="30" spans="1:74" ht="34.5" customHeight="1" x14ac:dyDescent="0.25"/>
    <row r="40" spans="74:74" x14ac:dyDescent="0.25">
      <c r="BV40" s="58"/>
    </row>
    <row r="41" spans="74:74" x14ac:dyDescent="0.25">
      <c r="BV41" s="58"/>
    </row>
    <row r="42" spans="74:74" x14ac:dyDescent="0.25">
      <c r="BV42" s="58"/>
    </row>
    <row r="43" spans="74:74" x14ac:dyDescent="0.25">
      <c r="BV43" s="58"/>
    </row>
    <row r="44" spans="74:74" x14ac:dyDescent="0.25">
      <c r="BV44" s="58"/>
    </row>
    <row r="45" spans="74:74" x14ac:dyDescent="0.25">
      <c r="BV45" s="58"/>
    </row>
    <row r="46" spans="74:74" x14ac:dyDescent="0.25">
      <c r="BV46" s="58"/>
    </row>
    <row r="47" spans="74:74" x14ac:dyDescent="0.25">
      <c r="BV47" s="58"/>
    </row>
    <row r="48" spans="74:74" x14ac:dyDescent="0.25">
      <c r="BV48" s="58"/>
    </row>
    <row r="56" spans="1:74" s="58" customFormat="1" x14ac:dyDescent="0.25">
      <c r="A56" s="53"/>
      <c r="B56" s="47"/>
      <c r="C56" s="47"/>
      <c r="D56" s="47"/>
      <c r="E56" s="47"/>
      <c r="F56" s="47"/>
      <c r="G56" s="47"/>
      <c r="H56" s="47"/>
      <c r="I56" s="54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47"/>
      <c r="AE56" s="47"/>
      <c r="AF56" s="47"/>
      <c r="AG56" s="47"/>
      <c r="AH56" s="47"/>
      <c r="AI56" s="47"/>
      <c r="AJ56" s="47"/>
      <c r="AK56" s="56"/>
      <c r="AL56" s="47"/>
      <c r="AM56" s="47"/>
      <c r="AN56" s="47"/>
      <c r="AO56" s="47"/>
      <c r="AP56" s="47"/>
      <c r="AQ56" s="57"/>
      <c r="AR56" s="47"/>
      <c r="AW56" s="59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47"/>
    </row>
    <row r="57" spans="1:74" s="58" customFormat="1" x14ac:dyDescent="0.25">
      <c r="A57" s="53"/>
      <c r="B57" s="47"/>
      <c r="C57" s="47"/>
      <c r="D57" s="47"/>
      <c r="E57" s="47"/>
      <c r="F57" s="47"/>
      <c r="G57" s="47"/>
      <c r="H57" s="47"/>
      <c r="I57" s="54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47"/>
      <c r="AE57" s="47"/>
      <c r="AF57" s="47"/>
      <c r="AG57" s="47"/>
      <c r="AH57" s="47"/>
      <c r="AI57" s="47"/>
      <c r="AJ57" s="47"/>
      <c r="AK57" s="56"/>
      <c r="AL57" s="47"/>
      <c r="AM57" s="47"/>
      <c r="AN57" s="47"/>
      <c r="AO57" s="47"/>
      <c r="AP57" s="47"/>
      <c r="AQ57" s="57"/>
      <c r="AR57" s="47"/>
      <c r="AW57" s="59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47"/>
    </row>
    <row r="58" spans="1:74" s="58" customFormat="1" x14ac:dyDescent="0.25">
      <c r="A58" s="53"/>
      <c r="B58" s="47"/>
      <c r="C58" s="47"/>
      <c r="D58" s="47"/>
      <c r="E58" s="47"/>
      <c r="F58" s="47"/>
      <c r="G58" s="47"/>
      <c r="H58" s="47"/>
      <c r="I58" s="54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47"/>
      <c r="AE58" s="47"/>
      <c r="AF58" s="47"/>
      <c r="AG58" s="47"/>
      <c r="AH58" s="47"/>
      <c r="AI58" s="47"/>
      <c r="AJ58" s="47"/>
      <c r="AK58" s="56"/>
      <c r="AL58" s="47"/>
      <c r="AM58" s="47"/>
      <c r="AN58" s="47"/>
      <c r="AO58" s="47"/>
      <c r="AP58" s="47"/>
      <c r="AQ58" s="57"/>
      <c r="AR58" s="47"/>
      <c r="AW58" s="59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47"/>
    </row>
    <row r="59" spans="1:74" s="58" customFormat="1" x14ac:dyDescent="0.25">
      <c r="A59" s="53"/>
      <c r="B59" s="47"/>
      <c r="C59" s="47"/>
      <c r="D59" s="47"/>
      <c r="E59" s="47"/>
      <c r="F59" s="47"/>
      <c r="G59" s="47"/>
      <c r="H59" s="47"/>
      <c r="I59" s="54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47"/>
      <c r="AE59" s="47"/>
      <c r="AF59" s="47"/>
      <c r="AG59" s="47"/>
      <c r="AH59" s="47"/>
      <c r="AI59" s="47"/>
      <c r="AJ59" s="47"/>
      <c r="AK59" s="56"/>
      <c r="AL59" s="47"/>
      <c r="AM59" s="47"/>
      <c r="AN59" s="47"/>
      <c r="AO59" s="47"/>
      <c r="AP59" s="47"/>
      <c r="AQ59" s="57"/>
      <c r="AR59" s="47"/>
      <c r="AW59" s="59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47"/>
    </row>
    <row r="60" spans="1:74" s="58" customFormat="1" x14ac:dyDescent="0.25">
      <c r="A60" s="53"/>
      <c r="B60" s="47"/>
      <c r="C60" s="47"/>
      <c r="D60" s="47"/>
      <c r="E60" s="47"/>
      <c r="F60" s="47"/>
      <c r="G60" s="47"/>
      <c r="H60" s="47"/>
      <c r="I60" s="54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47"/>
      <c r="AE60" s="47"/>
      <c r="AF60" s="47"/>
      <c r="AG60" s="47"/>
      <c r="AH60" s="47"/>
      <c r="AI60" s="47"/>
      <c r="AJ60" s="47"/>
      <c r="AK60" s="56"/>
      <c r="AL60" s="47"/>
      <c r="AM60" s="47"/>
      <c r="AN60" s="47"/>
      <c r="AO60" s="47"/>
      <c r="AP60" s="47"/>
      <c r="AQ60" s="57"/>
      <c r="AR60" s="47"/>
      <c r="AW60" s="59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47"/>
    </row>
    <row r="61" spans="1:74" s="58" customFormat="1" x14ac:dyDescent="0.25">
      <c r="A61" s="53"/>
      <c r="B61" s="47"/>
      <c r="C61" s="47"/>
      <c r="D61" s="47"/>
      <c r="E61" s="47"/>
      <c r="F61" s="47"/>
      <c r="G61" s="47"/>
      <c r="H61" s="47"/>
      <c r="I61" s="54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47"/>
      <c r="AE61" s="47"/>
      <c r="AF61" s="47"/>
      <c r="AG61" s="47"/>
      <c r="AH61" s="47"/>
      <c r="AI61" s="47"/>
      <c r="AJ61" s="47"/>
      <c r="AK61" s="56"/>
      <c r="AL61" s="47"/>
      <c r="AM61" s="47"/>
      <c r="AN61" s="47"/>
      <c r="AO61" s="47"/>
      <c r="AP61" s="47"/>
      <c r="AQ61" s="57"/>
      <c r="AR61" s="47"/>
      <c r="AW61" s="59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47"/>
    </row>
    <row r="62" spans="1:74" s="58" customFormat="1" x14ac:dyDescent="0.25">
      <c r="A62" s="53"/>
      <c r="B62" s="47"/>
      <c r="C62" s="47"/>
      <c r="D62" s="47"/>
      <c r="E62" s="47"/>
      <c r="F62" s="47"/>
      <c r="G62" s="47"/>
      <c r="H62" s="47"/>
      <c r="I62" s="54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47"/>
      <c r="AE62" s="47"/>
      <c r="AF62" s="47"/>
      <c r="AG62" s="47"/>
      <c r="AH62" s="47"/>
      <c r="AI62" s="47"/>
      <c r="AJ62" s="47"/>
      <c r="AK62" s="56"/>
      <c r="AL62" s="47"/>
      <c r="AM62" s="47"/>
      <c r="AN62" s="47"/>
      <c r="AO62" s="47"/>
      <c r="AP62" s="47"/>
      <c r="AQ62" s="57"/>
      <c r="AR62" s="47"/>
      <c r="AW62" s="59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47"/>
    </row>
    <row r="63" spans="1:74" s="58" customFormat="1" x14ac:dyDescent="0.25">
      <c r="A63" s="53"/>
      <c r="B63" s="47"/>
      <c r="C63" s="47"/>
      <c r="D63" s="47"/>
      <c r="E63" s="47"/>
      <c r="F63" s="47"/>
      <c r="G63" s="47"/>
      <c r="H63" s="47"/>
      <c r="I63" s="54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47"/>
      <c r="AE63" s="47"/>
      <c r="AF63" s="47"/>
      <c r="AG63" s="47"/>
      <c r="AH63" s="47"/>
      <c r="AI63" s="47"/>
      <c r="AJ63" s="47"/>
      <c r="AK63" s="56"/>
      <c r="AL63" s="47"/>
      <c r="AM63" s="47"/>
      <c r="AN63" s="47"/>
      <c r="AO63" s="47"/>
      <c r="AP63" s="47"/>
      <c r="AQ63" s="57"/>
      <c r="AR63" s="47"/>
      <c r="AW63" s="59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47"/>
    </row>
    <row r="64" spans="1:74" s="58" customFormat="1" x14ac:dyDescent="0.25">
      <c r="A64" s="53"/>
      <c r="B64" s="47"/>
      <c r="C64" s="47"/>
      <c r="D64" s="47"/>
      <c r="E64" s="47"/>
      <c r="F64" s="47"/>
      <c r="G64" s="47"/>
      <c r="H64" s="47"/>
      <c r="I64" s="54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47"/>
      <c r="AE64" s="47"/>
      <c r="AF64" s="47"/>
      <c r="AG64" s="47"/>
      <c r="AH64" s="47"/>
      <c r="AI64" s="47"/>
      <c r="AJ64" s="47"/>
      <c r="AK64" s="56"/>
      <c r="AL64" s="47"/>
      <c r="AM64" s="47"/>
      <c r="AN64" s="47"/>
      <c r="AO64" s="47"/>
      <c r="AP64" s="47"/>
      <c r="AQ64" s="57"/>
      <c r="AR64" s="47"/>
      <c r="AW64" s="59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47"/>
    </row>
  </sheetData>
  <mergeCells count="75">
    <mergeCell ref="BT6:BT9"/>
    <mergeCell ref="BU6:BU9"/>
    <mergeCell ref="BA7:BA9"/>
    <mergeCell ref="BB7:BB9"/>
    <mergeCell ref="BC7:BC9"/>
    <mergeCell ref="BD7:BD9"/>
    <mergeCell ref="BE7:BE9"/>
    <mergeCell ref="BF7:BF9"/>
    <mergeCell ref="BG7:BG9"/>
    <mergeCell ref="BH7:BH9"/>
    <mergeCell ref="AX6:BN6"/>
    <mergeCell ref="BO6:BO9"/>
    <mergeCell ref="BP6:BP9"/>
    <mergeCell ref="BQ6:BQ9"/>
    <mergeCell ref="BR6:BR9"/>
    <mergeCell ref="BS6:BS9"/>
    <mergeCell ref="BI7:BI9"/>
    <mergeCell ref="BJ7:BJ9"/>
    <mergeCell ref="BK7:BK9"/>
    <mergeCell ref="BL7:BL9"/>
    <mergeCell ref="BM7:BM9"/>
    <mergeCell ref="BN7:BN9"/>
    <mergeCell ref="AH8:AH9"/>
    <mergeCell ref="AI8:AI9"/>
    <mergeCell ref="AJ8:AJ9"/>
    <mergeCell ref="AU8:AU9"/>
    <mergeCell ref="AV8:AV9"/>
    <mergeCell ref="AL8:AM8"/>
    <mergeCell ref="AN8:AO8"/>
    <mergeCell ref="AQ8:AQ9"/>
    <mergeCell ref="AR8:AR9"/>
    <mergeCell ref="AS8:AS9"/>
    <mergeCell ref="AT8:AT9"/>
    <mergeCell ref="AX7:AX9"/>
    <mergeCell ref="AY7:AY9"/>
    <mergeCell ref="AZ7:AZ9"/>
    <mergeCell ref="AW6:AW9"/>
    <mergeCell ref="N8:N9"/>
    <mergeCell ref="O8:O9"/>
    <mergeCell ref="P8:Q8"/>
    <mergeCell ref="R8:R9"/>
    <mergeCell ref="S8:S9"/>
    <mergeCell ref="AK8:AK9"/>
    <mergeCell ref="V8:W8"/>
    <mergeCell ref="X8:Y8"/>
    <mergeCell ref="Z8:AA8"/>
    <mergeCell ref="AB8:AC8"/>
    <mergeCell ref="AD8:AD9"/>
    <mergeCell ref="AE8:AE9"/>
    <mergeCell ref="M8:M9"/>
    <mergeCell ref="J6:Q7"/>
    <mergeCell ref="R6:S7"/>
    <mergeCell ref="T6:AC6"/>
    <mergeCell ref="AD6:AV6"/>
    <mergeCell ref="T7:W7"/>
    <mergeCell ref="X7:AC7"/>
    <mergeCell ref="AD7:AN7"/>
    <mergeCell ref="AP7:AP9"/>
    <mergeCell ref="J8:J9"/>
    <mergeCell ref="K8:K9"/>
    <mergeCell ref="L8:L9"/>
    <mergeCell ref="T8:U8"/>
    <mergeCell ref="AQ7:AV7"/>
    <mergeCell ref="AF8:AF9"/>
    <mergeCell ref="AG8:AG9"/>
    <mergeCell ref="F6:F9"/>
    <mergeCell ref="G6:H7"/>
    <mergeCell ref="I6:I9"/>
    <mergeCell ref="A6:A9"/>
    <mergeCell ref="B6:B9"/>
    <mergeCell ref="C6:C9"/>
    <mergeCell ref="D6:D9"/>
    <mergeCell ref="E6:E9"/>
    <mergeCell ref="G8:G9"/>
    <mergeCell ref="H8:H9"/>
  </mergeCells>
  <pageMargins left="0.25" right="0.25" top="0.75" bottom="0.75" header="0.3" footer="0.3"/>
  <pageSetup paperSize="8" scale="47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A9F3-BD9F-40C1-ADB1-443D5EB6F95D}">
  <sheetPr>
    <pageSetUpPr fitToPage="1"/>
  </sheetPr>
  <dimension ref="A1:BU78"/>
  <sheetViews>
    <sheetView tabSelected="1" workbookViewId="0">
      <pane xSplit="2" ySplit="9" topLeftCell="C13" activePane="bottomRight" state="frozen"/>
      <selection pane="topRight" activeCell="C1" sqref="C1"/>
      <selection pane="bottomLeft" activeCell="A11" sqref="A11"/>
      <selection pane="bottomRight" sqref="A1:XFD1048576"/>
    </sheetView>
  </sheetViews>
  <sheetFormatPr defaultColWidth="5.28515625" defaultRowHeight="15.75" x14ac:dyDescent="0.25"/>
  <cols>
    <col min="1" max="1" width="5" style="53" customWidth="1"/>
    <col min="2" max="2" width="20.140625" style="47" customWidth="1"/>
    <col min="3" max="3" width="11.28515625" style="47" customWidth="1"/>
    <col min="4" max="4" width="11.140625" style="47" customWidth="1"/>
    <col min="5" max="5" width="9.42578125" style="47" customWidth="1"/>
    <col min="6" max="6" width="11.140625" style="47" customWidth="1"/>
    <col min="7" max="7" width="11.5703125" style="47" customWidth="1"/>
    <col min="8" max="8" width="9.7109375" style="47" customWidth="1"/>
    <col min="9" max="9" width="6" style="54" customWidth="1"/>
    <col min="10" max="10" width="5.85546875" style="53" customWidth="1"/>
    <col min="11" max="11" width="5.28515625" style="53" customWidth="1"/>
    <col min="12" max="12" width="10.85546875" style="53" hidden="1" customWidth="1"/>
    <col min="13" max="13" width="9.28515625" style="53" hidden="1" customWidth="1"/>
    <col min="14" max="14" width="7.5703125" style="53" hidden="1" customWidth="1"/>
    <col min="15" max="15" width="7" style="53" hidden="1" customWidth="1"/>
    <col min="16" max="16" width="11" style="53" customWidth="1"/>
    <col min="17" max="18" width="15" style="53" hidden="1" customWidth="1"/>
    <col min="19" max="19" width="8" style="53" customWidth="1"/>
    <col min="20" max="20" width="6.28515625" style="55" customWidth="1"/>
    <col min="21" max="21" width="9.85546875" style="55" hidden="1" customWidth="1"/>
    <col min="22" max="22" width="6.85546875" style="55" hidden="1" customWidth="1"/>
    <col min="23" max="23" width="9.85546875" style="55" hidden="1" customWidth="1"/>
    <col min="24" max="24" width="7.5703125" style="55" customWidth="1"/>
    <col min="25" max="25" width="9.85546875" style="55" hidden="1" customWidth="1"/>
    <col min="26" max="26" width="10.85546875" style="55" customWidth="1"/>
    <col min="27" max="27" width="11.5703125" style="55" hidden="1" customWidth="1"/>
    <col min="28" max="28" width="7.7109375" style="55" customWidth="1"/>
    <col min="29" max="29" width="7.5703125" style="55" customWidth="1"/>
    <col min="30" max="30" width="11.5703125" style="47" customWidth="1"/>
    <col min="31" max="31" width="10.85546875" style="47" customWidth="1"/>
    <col min="32" max="32" width="9.7109375" style="47" customWidth="1"/>
    <col min="33" max="34" width="15" style="47" hidden="1" customWidth="1"/>
    <col min="35" max="35" width="9.7109375" style="47" hidden="1" customWidth="1"/>
    <col min="36" max="36" width="14.42578125" style="47" hidden="1" customWidth="1"/>
    <col min="37" max="37" width="11" style="47" customWidth="1"/>
    <col min="38" max="38" width="11.5703125" style="47" customWidth="1"/>
    <col min="39" max="39" width="9.7109375" style="47" customWidth="1"/>
    <col min="40" max="40" width="10.85546875" style="47" customWidth="1"/>
    <col min="41" max="41" width="15" style="47" hidden="1" customWidth="1"/>
    <col min="42" max="42" width="13.85546875" style="47" hidden="1" customWidth="1"/>
    <col min="43" max="43" width="9.7109375" style="57" customWidth="1"/>
    <col min="44" max="44" width="15" style="47" hidden="1" customWidth="1"/>
    <col min="45" max="45" width="13.7109375" style="47" hidden="1" customWidth="1"/>
    <col min="46" max="46" width="9.28515625" style="47" hidden="1" customWidth="1"/>
    <col min="47" max="47" width="15" style="47" hidden="1" customWidth="1"/>
    <col min="48" max="48" width="11" style="47" hidden="1" customWidth="1"/>
    <col min="49" max="49" width="12.5703125" style="53" customWidth="1"/>
    <col min="50" max="50" width="10.85546875" style="2" customWidth="1"/>
    <col min="51" max="51" width="10.5703125" style="2" customWidth="1"/>
    <col min="52" max="52" width="10" style="2" customWidth="1"/>
    <col min="53" max="53" width="10.28515625" style="2" customWidth="1"/>
    <col min="54" max="54" width="10" style="2" hidden="1" customWidth="1"/>
    <col min="55" max="55" width="12.28515625" style="2" hidden="1" customWidth="1"/>
    <col min="56" max="56" width="15" style="2" hidden="1" customWidth="1"/>
    <col min="57" max="57" width="10.85546875" style="2" hidden="1" customWidth="1"/>
    <col min="58" max="58" width="17.7109375" style="2" hidden="1" customWidth="1"/>
    <col min="59" max="59" width="11.7109375" style="2" hidden="1" customWidth="1"/>
    <col min="60" max="60" width="16.7109375" style="2" hidden="1" customWidth="1"/>
    <col min="61" max="61" width="10.85546875" style="2" hidden="1" customWidth="1"/>
    <col min="62" max="62" width="9.85546875" style="2" customWidth="1"/>
    <col min="63" max="63" width="11.42578125" style="2" hidden="1" customWidth="1"/>
    <col min="64" max="64" width="11.28515625" style="2" hidden="1" customWidth="1"/>
    <col min="65" max="66" width="10.85546875" style="2" customWidth="1"/>
    <col min="67" max="67" width="8.28515625" style="2" hidden="1" customWidth="1"/>
    <col min="68" max="68" width="10.42578125" style="2" customWidth="1"/>
    <col min="69" max="69" width="12.85546875" style="2" customWidth="1"/>
    <col min="70" max="70" width="10.7109375" style="2" customWidth="1"/>
    <col min="71" max="71" width="6.42578125" style="2" customWidth="1"/>
    <col min="72" max="72" width="11.140625" style="2" customWidth="1"/>
    <col min="73" max="73" width="14.140625" style="2" customWidth="1"/>
    <col min="74" max="16384" width="5.28515625" style="47"/>
  </cols>
  <sheetData>
    <row r="1" spans="1:73" x14ac:dyDescent="0.25">
      <c r="A1" s="5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40"/>
      <c r="U1" s="40"/>
      <c r="V1" s="40"/>
      <c r="W1" s="40"/>
      <c r="X1" s="40"/>
      <c r="Y1" s="40"/>
      <c r="Z1" s="40"/>
      <c r="AA1" s="40"/>
      <c r="AB1" s="40"/>
      <c r="AC1" s="40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11"/>
      <c r="AR1" s="1"/>
      <c r="AS1" s="1"/>
      <c r="AT1" s="1"/>
      <c r="AU1" s="1"/>
      <c r="AV1" s="5"/>
      <c r="AW1" s="1"/>
      <c r="BT1" s="13" t="s">
        <v>71</v>
      </c>
    </row>
    <row r="2" spans="1:73" x14ac:dyDescent="0.25">
      <c r="A2" s="12" t="s">
        <v>68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  <c r="R2" s="13"/>
      <c r="S2" s="13"/>
      <c r="T2" s="41"/>
      <c r="U2" s="41"/>
      <c r="V2" s="41"/>
      <c r="W2" s="41"/>
      <c r="X2" s="41"/>
      <c r="Y2" s="41"/>
      <c r="Z2" s="41"/>
      <c r="AA2" s="41"/>
      <c r="AB2" s="41"/>
      <c r="AC2" s="41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3"/>
      <c r="AR2" s="13"/>
      <c r="AS2" s="13"/>
      <c r="AT2" s="13"/>
      <c r="AU2" s="13"/>
      <c r="AV2" s="5"/>
      <c r="AW2" s="1"/>
    </row>
    <row r="3" spans="1:73" s="71" customFormat="1" ht="24.75" customHeight="1" x14ac:dyDescent="0.3">
      <c r="A3" s="411" t="s">
        <v>166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0"/>
      <c r="AY3" s="60"/>
      <c r="AZ3" s="60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72"/>
      <c r="BT3" s="72"/>
      <c r="BU3" s="72"/>
    </row>
    <row r="4" spans="1:73" ht="17.850000000000001" customHeight="1" x14ac:dyDescent="0.25">
      <c r="A4" s="384" t="s">
        <v>69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T4" s="13"/>
    </row>
    <row r="5" spans="1:73" ht="17.100000000000001" customHeight="1" x14ac:dyDescent="0.25">
      <c r="A5" s="1">
        <v>21</v>
      </c>
      <c r="B5" s="86">
        <v>0.85</v>
      </c>
      <c r="C5" s="6">
        <v>1</v>
      </c>
      <c r="D5" s="7"/>
      <c r="E5" s="7"/>
      <c r="F5" s="7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8"/>
      <c r="U5" s="8"/>
      <c r="V5" s="8"/>
      <c r="W5" s="8"/>
      <c r="X5" s="8"/>
      <c r="Y5" s="8"/>
      <c r="Z5" s="8"/>
      <c r="AA5" s="8"/>
      <c r="AB5" s="8"/>
      <c r="AC5" s="8"/>
      <c r="AD5" s="9"/>
      <c r="AE5" s="9"/>
      <c r="AF5" s="9"/>
      <c r="AG5" s="9">
        <v>0.6</v>
      </c>
      <c r="AH5" s="9"/>
      <c r="AI5" s="9"/>
      <c r="AJ5" s="9"/>
      <c r="AK5" s="9"/>
      <c r="AL5" s="9"/>
      <c r="AM5" s="5"/>
      <c r="AN5" s="5"/>
      <c r="AO5" s="5"/>
      <c r="AP5" s="5"/>
      <c r="AQ5" s="11"/>
      <c r="AR5" s="5"/>
      <c r="AS5" s="5"/>
      <c r="AT5" s="5"/>
      <c r="AU5" s="5"/>
      <c r="AV5" s="5"/>
      <c r="AW5" s="1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370" t="s">
        <v>127</v>
      </c>
      <c r="BO5" s="5"/>
      <c r="BP5" s="5"/>
      <c r="BQ5" s="5"/>
      <c r="BR5" s="5"/>
      <c r="BS5" s="5"/>
      <c r="BT5" s="5">
        <v>33000</v>
      </c>
      <c r="BU5" s="5"/>
    </row>
    <row r="6" spans="1:73" s="365" customFormat="1" ht="29.1" customHeight="1" x14ac:dyDescent="0.25">
      <c r="A6" s="392" t="s">
        <v>0</v>
      </c>
      <c r="B6" s="392" t="s">
        <v>1</v>
      </c>
      <c r="C6" s="392" t="s">
        <v>2</v>
      </c>
      <c r="D6" s="392" t="s">
        <v>3</v>
      </c>
      <c r="E6" s="392" t="s">
        <v>4</v>
      </c>
      <c r="F6" s="392" t="s">
        <v>73</v>
      </c>
      <c r="G6" s="399" t="s">
        <v>113</v>
      </c>
      <c r="H6" s="401"/>
      <c r="I6" s="392" t="s">
        <v>5</v>
      </c>
      <c r="J6" s="399" t="s">
        <v>6</v>
      </c>
      <c r="K6" s="400"/>
      <c r="L6" s="400"/>
      <c r="M6" s="400"/>
      <c r="N6" s="400"/>
      <c r="O6" s="400"/>
      <c r="P6" s="400"/>
      <c r="Q6" s="401"/>
      <c r="R6" s="399" t="s">
        <v>7</v>
      </c>
      <c r="S6" s="401"/>
      <c r="T6" s="405" t="s">
        <v>161</v>
      </c>
      <c r="U6" s="406"/>
      <c r="V6" s="406"/>
      <c r="W6" s="406"/>
      <c r="X6" s="406"/>
      <c r="Y6" s="406"/>
      <c r="Z6" s="406"/>
      <c r="AA6" s="406"/>
      <c r="AB6" s="406"/>
      <c r="AC6" s="407"/>
      <c r="AD6" s="390" t="s">
        <v>99</v>
      </c>
      <c r="AE6" s="408"/>
      <c r="AF6" s="408"/>
      <c r="AG6" s="408"/>
      <c r="AH6" s="408"/>
      <c r="AI6" s="408"/>
      <c r="AJ6" s="408"/>
      <c r="AK6" s="408"/>
      <c r="AL6" s="408"/>
      <c r="AM6" s="408"/>
      <c r="AN6" s="408"/>
      <c r="AO6" s="408"/>
      <c r="AP6" s="408"/>
      <c r="AQ6" s="408"/>
      <c r="AR6" s="408"/>
      <c r="AS6" s="408"/>
      <c r="AT6" s="408"/>
      <c r="AU6" s="408"/>
      <c r="AV6" s="391"/>
      <c r="AW6" s="392" t="s">
        <v>162</v>
      </c>
      <c r="AX6" s="383" t="s">
        <v>30</v>
      </c>
      <c r="AY6" s="383"/>
      <c r="AZ6" s="383"/>
      <c r="BA6" s="383"/>
      <c r="BB6" s="383"/>
      <c r="BC6" s="383"/>
      <c r="BD6" s="383"/>
      <c r="BE6" s="383"/>
      <c r="BF6" s="383"/>
      <c r="BG6" s="383"/>
      <c r="BH6" s="383"/>
      <c r="BI6" s="383"/>
      <c r="BJ6" s="383"/>
      <c r="BK6" s="383"/>
      <c r="BL6" s="383"/>
      <c r="BM6" s="383"/>
      <c r="BN6" s="383"/>
      <c r="BO6" s="374" t="s">
        <v>98</v>
      </c>
      <c r="BP6" s="374" t="s">
        <v>98</v>
      </c>
      <c r="BQ6" s="377" t="s">
        <v>32</v>
      </c>
      <c r="BR6" s="374" t="s">
        <v>51</v>
      </c>
      <c r="BS6" s="377" t="s">
        <v>33</v>
      </c>
      <c r="BT6" s="374" t="s">
        <v>34</v>
      </c>
      <c r="BU6" s="377" t="s">
        <v>35</v>
      </c>
    </row>
    <row r="7" spans="1:73" s="365" customFormat="1" ht="22.35" customHeight="1" x14ac:dyDescent="0.25">
      <c r="A7" s="409"/>
      <c r="B7" s="409"/>
      <c r="C7" s="409"/>
      <c r="D7" s="409"/>
      <c r="E7" s="409"/>
      <c r="F7" s="409"/>
      <c r="G7" s="402"/>
      <c r="H7" s="404"/>
      <c r="I7" s="409"/>
      <c r="J7" s="402"/>
      <c r="K7" s="403"/>
      <c r="L7" s="403"/>
      <c r="M7" s="403"/>
      <c r="N7" s="403"/>
      <c r="O7" s="403"/>
      <c r="P7" s="403"/>
      <c r="Q7" s="404"/>
      <c r="R7" s="402"/>
      <c r="S7" s="404"/>
      <c r="T7" s="390" t="s">
        <v>115</v>
      </c>
      <c r="U7" s="408"/>
      <c r="V7" s="408"/>
      <c r="W7" s="391"/>
      <c r="X7" s="390" t="s">
        <v>167</v>
      </c>
      <c r="Y7" s="408"/>
      <c r="Z7" s="408"/>
      <c r="AA7" s="408"/>
      <c r="AB7" s="408"/>
      <c r="AC7" s="391"/>
      <c r="AD7" s="396" t="s">
        <v>75</v>
      </c>
      <c r="AE7" s="397"/>
      <c r="AF7" s="397"/>
      <c r="AG7" s="397"/>
      <c r="AH7" s="397"/>
      <c r="AI7" s="397"/>
      <c r="AJ7" s="397"/>
      <c r="AK7" s="397"/>
      <c r="AL7" s="397"/>
      <c r="AM7" s="397"/>
      <c r="AN7" s="398"/>
      <c r="AO7" s="366"/>
      <c r="AP7" s="410" t="s">
        <v>94</v>
      </c>
      <c r="AQ7" s="396" t="s">
        <v>85</v>
      </c>
      <c r="AR7" s="397"/>
      <c r="AS7" s="397"/>
      <c r="AT7" s="397"/>
      <c r="AU7" s="397"/>
      <c r="AV7" s="398"/>
      <c r="AW7" s="409"/>
      <c r="AX7" s="380" t="s">
        <v>97</v>
      </c>
      <c r="AY7" s="380" t="s">
        <v>36</v>
      </c>
      <c r="AZ7" s="380" t="s">
        <v>37</v>
      </c>
      <c r="BA7" s="380" t="s">
        <v>38</v>
      </c>
      <c r="BB7" s="380" t="s">
        <v>66</v>
      </c>
      <c r="BC7" s="380" t="s">
        <v>67</v>
      </c>
      <c r="BD7" s="380" t="s">
        <v>63</v>
      </c>
      <c r="BE7" s="380" t="s">
        <v>39</v>
      </c>
      <c r="BF7" s="380" t="s">
        <v>61</v>
      </c>
      <c r="BG7" s="380" t="s">
        <v>40</v>
      </c>
      <c r="BH7" s="380" t="s">
        <v>41</v>
      </c>
      <c r="BI7" s="380" t="s">
        <v>90</v>
      </c>
      <c r="BJ7" s="380" t="s">
        <v>42</v>
      </c>
      <c r="BK7" s="380" t="s">
        <v>160</v>
      </c>
      <c r="BL7" s="380" t="s">
        <v>155</v>
      </c>
      <c r="BM7" s="380" t="s">
        <v>165</v>
      </c>
      <c r="BN7" s="380" t="s">
        <v>44</v>
      </c>
      <c r="BO7" s="375"/>
      <c r="BP7" s="375"/>
      <c r="BQ7" s="378"/>
      <c r="BR7" s="375"/>
      <c r="BS7" s="378"/>
      <c r="BT7" s="375"/>
      <c r="BU7" s="378"/>
    </row>
    <row r="8" spans="1:73" s="365" customFormat="1" ht="47.85" customHeight="1" x14ac:dyDescent="0.25">
      <c r="A8" s="409"/>
      <c r="B8" s="409"/>
      <c r="C8" s="409"/>
      <c r="D8" s="409"/>
      <c r="E8" s="409"/>
      <c r="F8" s="409"/>
      <c r="G8" s="392" t="s">
        <v>18</v>
      </c>
      <c r="H8" s="392" t="s">
        <v>19</v>
      </c>
      <c r="I8" s="409"/>
      <c r="J8" s="392" t="s">
        <v>14</v>
      </c>
      <c r="K8" s="392" t="s">
        <v>76</v>
      </c>
      <c r="L8" s="394" t="s">
        <v>95</v>
      </c>
      <c r="M8" s="394" t="s">
        <v>91</v>
      </c>
      <c r="N8" s="392" t="s">
        <v>77</v>
      </c>
      <c r="O8" s="394" t="s">
        <v>86</v>
      </c>
      <c r="P8" s="390" t="s">
        <v>87</v>
      </c>
      <c r="Q8" s="391"/>
      <c r="R8" s="392" t="s">
        <v>17</v>
      </c>
      <c r="S8" s="394" t="s">
        <v>84</v>
      </c>
      <c r="T8" s="390" t="s">
        <v>49</v>
      </c>
      <c r="U8" s="391"/>
      <c r="V8" s="390" t="s">
        <v>50</v>
      </c>
      <c r="W8" s="391"/>
      <c r="X8" s="390" t="s">
        <v>64</v>
      </c>
      <c r="Y8" s="391"/>
      <c r="Z8" s="390" t="s">
        <v>49</v>
      </c>
      <c r="AA8" s="391"/>
      <c r="AB8" s="390" t="s">
        <v>50</v>
      </c>
      <c r="AC8" s="391"/>
      <c r="AD8" s="392" t="s">
        <v>8</v>
      </c>
      <c r="AE8" s="392" t="s">
        <v>52</v>
      </c>
      <c r="AF8" s="392" t="s">
        <v>9</v>
      </c>
      <c r="AG8" s="392" t="s">
        <v>92</v>
      </c>
      <c r="AH8" s="392" t="s">
        <v>93</v>
      </c>
      <c r="AI8" s="394" t="s">
        <v>78</v>
      </c>
      <c r="AJ8" s="392" t="s">
        <v>79</v>
      </c>
      <c r="AK8" s="392" t="s">
        <v>65</v>
      </c>
      <c r="AL8" s="390" t="s">
        <v>116</v>
      </c>
      <c r="AM8" s="391"/>
      <c r="AN8" s="390" t="s">
        <v>117</v>
      </c>
      <c r="AO8" s="391"/>
      <c r="AP8" s="410"/>
      <c r="AQ8" s="386" t="s">
        <v>80</v>
      </c>
      <c r="AR8" s="386" t="s">
        <v>81</v>
      </c>
      <c r="AS8" s="386" t="s">
        <v>118</v>
      </c>
      <c r="AT8" s="386" t="s">
        <v>119</v>
      </c>
      <c r="AU8" s="386" t="s">
        <v>82</v>
      </c>
      <c r="AV8" s="386"/>
      <c r="AW8" s="409"/>
      <c r="AX8" s="381"/>
      <c r="AY8" s="381"/>
      <c r="AZ8" s="381"/>
      <c r="BA8" s="381"/>
      <c r="BB8" s="381"/>
      <c r="BC8" s="381"/>
      <c r="BD8" s="381"/>
      <c r="BE8" s="381"/>
      <c r="BF8" s="381"/>
      <c r="BG8" s="381"/>
      <c r="BH8" s="381"/>
      <c r="BI8" s="381"/>
      <c r="BJ8" s="381"/>
      <c r="BK8" s="381"/>
      <c r="BL8" s="381"/>
      <c r="BM8" s="381"/>
      <c r="BN8" s="381"/>
      <c r="BO8" s="375"/>
      <c r="BP8" s="375"/>
      <c r="BQ8" s="378"/>
      <c r="BR8" s="375"/>
      <c r="BS8" s="378"/>
      <c r="BT8" s="375"/>
      <c r="BU8" s="378"/>
    </row>
    <row r="9" spans="1:73" s="365" customFormat="1" ht="35.450000000000003" customHeight="1" x14ac:dyDescent="0.25">
      <c r="A9" s="393"/>
      <c r="B9" s="393" t="s">
        <v>13</v>
      </c>
      <c r="C9" s="393" t="s">
        <v>13</v>
      </c>
      <c r="D9" s="393"/>
      <c r="E9" s="393"/>
      <c r="F9" s="393"/>
      <c r="G9" s="393"/>
      <c r="H9" s="393"/>
      <c r="I9" s="393"/>
      <c r="J9" s="393"/>
      <c r="K9" s="393"/>
      <c r="L9" s="395"/>
      <c r="M9" s="395"/>
      <c r="N9" s="393"/>
      <c r="O9" s="395"/>
      <c r="P9" s="162" t="s">
        <v>120</v>
      </c>
      <c r="Q9" s="162" t="s">
        <v>96</v>
      </c>
      <c r="R9" s="393"/>
      <c r="S9" s="395"/>
      <c r="T9" s="368" t="s">
        <v>15</v>
      </c>
      <c r="U9" s="368" t="s">
        <v>16</v>
      </c>
      <c r="V9" s="368" t="s">
        <v>15</v>
      </c>
      <c r="W9" s="368" t="s">
        <v>16</v>
      </c>
      <c r="X9" s="368" t="s">
        <v>15</v>
      </c>
      <c r="Y9" s="368" t="s">
        <v>16</v>
      </c>
      <c r="Z9" s="368" t="s">
        <v>15</v>
      </c>
      <c r="AA9" s="368" t="s">
        <v>16</v>
      </c>
      <c r="AB9" s="368" t="s">
        <v>15</v>
      </c>
      <c r="AC9" s="368" t="s">
        <v>16</v>
      </c>
      <c r="AD9" s="393"/>
      <c r="AE9" s="393"/>
      <c r="AF9" s="393"/>
      <c r="AG9" s="393"/>
      <c r="AH9" s="393"/>
      <c r="AI9" s="395"/>
      <c r="AJ9" s="393"/>
      <c r="AK9" s="393"/>
      <c r="AL9" s="367" t="s">
        <v>15</v>
      </c>
      <c r="AM9" s="367" t="s">
        <v>16</v>
      </c>
      <c r="AN9" s="367" t="s">
        <v>15</v>
      </c>
      <c r="AO9" s="367" t="s">
        <v>16</v>
      </c>
      <c r="AP9" s="410"/>
      <c r="AQ9" s="387"/>
      <c r="AR9" s="387"/>
      <c r="AS9" s="387"/>
      <c r="AT9" s="387"/>
      <c r="AU9" s="387"/>
      <c r="AV9" s="387"/>
      <c r="AW9" s="393"/>
      <c r="AX9" s="382"/>
      <c r="AY9" s="382"/>
      <c r="AZ9" s="382"/>
      <c r="BA9" s="382"/>
      <c r="BB9" s="382"/>
      <c r="BC9" s="382"/>
      <c r="BD9" s="382"/>
      <c r="BE9" s="382"/>
      <c r="BF9" s="382"/>
      <c r="BG9" s="382"/>
      <c r="BH9" s="382"/>
      <c r="BI9" s="382"/>
      <c r="BJ9" s="382"/>
      <c r="BK9" s="382"/>
      <c r="BL9" s="382"/>
      <c r="BM9" s="382"/>
      <c r="BN9" s="382"/>
      <c r="BO9" s="376"/>
      <c r="BP9" s="376"/>
      <c r="BQ9" s="379"/>
      <c r="BR9" s="376"/>
      <c r="BS9" s="379"/>
      <c r="BT9" s="376"/>
      <c r="BU9" s="379"/>
    </row>
    <row r="10" spans="1:73" s="89" customFormat="1" ht="14.25" customHeight="1" x14ac:dyDescent="0.25">
      <c r="A10" s="62" t="s">
        <v>100</v>
      </c>
      <c r="B10" s="364" t="s">
        <v>101</v>
      </c>
      <c r="C10" s="364" t="s">
        <v>102</v>
      </c>
      <c r="D10" s="364">
        <v>-1</v>
      </c>
      <c r="E10" s="290">
        <v>-2</v>
      </c>
      <c r="F10" s="291" t="s">
        <v>106</v>
      </c>
      <c r="G10" s="290">
        <v>-4</v>
      </c>
      <c r="H10" s="364">
        <v>-5</v>
      </c>
      <c r="I10" s="364">
        <v>-6</v>
      </c>
      <c r="J10" s="364">
        <v>-7</v>
      </c>
      <c r="K10" s="364">
        <v>-8</v>
      </c>
      <c r="L10" s="364">
        <v>-9</v>
      </c>
      <c r="M10" s="364">
        <v>-7</v>
      </c>
      <c r="N10" s="364">
        <v>-10</v>
      </c>
      <c r="O10" s="364"/>
      <c r="P10" s="364">
        <v>-9</v>
      </c>
      <c r="Q10" s="364"/>
      <c r="R10" s="364"/>
      <c r="S10" s="364">
        <v>-10</v>
      </c>
      <c r="T10" s="364">
        <v>-11</v>
      </c>
      <c r="U10" s="364">
        <v>-10</v>
      </c>
      <c r="V10" s="364">
        <v>-12</v>
      </c>
      <c r="W10" s="364">
        <v>-10</v>
      </c>
      <c r="X10" s="364">
        <v>-11</v>
      </c>
      <c r="Y10" s="364">
        <v>-11</v>
      </c>
      <c r="Z10" s="364">
        <v>-12</v>
      </c>
      <c r="AA10" s="364">
        <v>-10</v>
      </c>
      <c r="AB10" s="364">
        <v>-13</v>
      </c>
      <c r="AC10" s="364">
        <v>-14</v>
      </c>
      <c r="AD10" s="364">
        <v>-15</v>
      </c>
      <c r="AE10" s="364">
        <v>-16</v>
      </c>
      <c r="AF10" s="364">
        <v>-17</v>
      </c>
      <c r="AG10" s="364">
        <v>-17</v>
      </c>
      <c r="AH10" s="364">
        <v>-18</v>
      </c>
      <c r="AI10" s="364">
        <v>-10</v>
      </c>
      <c r="AJ10" s="364">
        <v>-10</v>
      </c>
      <c r="AK10" s="364">
        <v>-18</v>
      </c>
      <c r="AL10" s="364">
        <v>-19</v>
      </c>
      <c r="AM10" s="364">
        <v>-20</v>
      </c>
      <c r="AN10" s="364">
        <v>-21</v>
      </c>
      <c r="AO10" s="364">
        <v>-22</v>
      </c>
      <c r="AP10" s="364">
        <v>-23</v>
      </c>
      <c r="AQ10" s="364">
        <v>-21</v>
      </c>
      <c r="AR10" s="364">
        <v>-24</v>
      </c>
      <c r="AS10" s="364">
        <v>-24</v>
      </c>
      <c r="AT10" s="364">
        <v>-27</v>
      </c>
      <c r="AU10" s="364">
        <v>-10</v>
      </c>
      <c r="AV10" s="364">
        <v>-25</v>
      </c>
      <c r="AW10" s="62" t="s">
        <v>163</v>
      </c>
      <c r="AX10" s="355">
        <v>-19</v>
      </c>
      <c r="AY10" s="355">
        <v>-20</v>
      </c>
      <c r="AZ10" s="355">
        <v>-21</v>
      </c>
      <c r="BA10" s="355">
        <v>-22</v>
      </c>
      <c r="BB10" s="355"/>
      <c r="BC10" s="355"/>
      <c r="BD10" s="355"/>
      <c r="BE10" s="355"/>
      <c r="BF10" s="355"/>
      <c r="BG10" s="355"/>
      <c r="BH10" s="355"/>
      <c r="BI10" s="355"/>
      <c r="BJ10" s="355">
        <v>-23</v>
      </c>
      <c r="BK10" s="355">
        <v>-24</v>
      </c>
      <c r="BL10" s="355">
        <v>-25</v>
      </c>
      <c r="BM10" s="355">
        <v>-26</v>
      </c>
      <c r="BN10" s="355" t="s">
        <v>157</v>
      </c>
      <c r="BO10" s="355">
        <v>-23</v>
      </c>
      <c r="BP10" s="355">
        <v>-28</v>
      </c>
      <c r="BQ10" s="355" t="s">
        <v>158</v>
      </c>
      <c r="BR10" s="355">
        <v>-31</v>
      </c>
      <c r="BS10" s="355">
        <v>-32</v>
      </c>
      <c r="BT10" s="355">
        <v>-33</v>
      </c>
      <c r="BU10" s="355" t="s">
        <v>159</v>
      </c>
    </row>
    <row r="11" spans="1:73" s="48" customFormat="1" ht="34.5" customHeight="1" x14ac:dyDescent="0.25">
      <c r="A11" s="35">
        <v>1</v>
      </c>
      <c r="B11" s="63" t="s">
        <v>20</v>
      </c>
      <c r="C11" s="286" t="s">
        <v>47</v>
      </c>
      <c r="D11" s="238">
        <v>16740000</v>
      </c>
      <c r="E11" s="251"/>
      <c r="F11" s="240">
        <v>6500000</v>
      </c>
      <c r="G11" s="239">
        <v>9930000</v>
      </c>
      <c r="H11" s="239"/>
      <c r="I11" s="241" t="s">
        <v>21</v>
      </c>
      <c r="J11" s="242">
        <v>20</v>
      </c>
      <c r="K11" s="242">
        <v>1</v>
      </c>
      <c r="L11" s="242">
        <v>0</v>
      </c>
      <c r="M11" s="242">
        <v>0</v>
      </c>
      <c r="N11" s="242"/>
      <c r="O11" s="242">
        <v>0</v>
      </c>
      <c r="P11" s="244">
        <v>0</v>
      </c>
      <c r="Q11" s="244"/>
      <c r="R11" s="244"/>
      <c r="S11" s="244">
        <v>0</v>
      </c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1">
        <f>ROUND(F11*(J11+K11+M11)/$A$5,-3)</f>
        <v>6500000</v>
      </c>
      <c r="AE11" s="246">
        <f>ROUND(IF(I11="A",(D11-F11)*(J11+K11+M11)/$A$5,IF(I11="B",(D11-F11)*0.5*(J11+K11+M11)/$A$5,IF(I11="C",0))),-3)</f>
        <v>10240000</v>
      </c>
      <c r="AF11" s="247"/>
      <c r="AG11" s="247"/>
      <c r="AH11" s="247"/>
      <c r="AI11" s="247">
        <f>ROUND(G11*(L11)/$A$5,-3)</f>
        <v>0</v>
      </c>
      <c r="AJ11" s="247">
        <f>ROUND(G11*N11/$A$5*85%,-3)</f>
        <v>0</v>
      </c>
      <c r="AK11" s="251">
        <f t="shared" ref="AK11:AK16" si="0">ROUND(P11*316000,-3)</f>
        <v>0</v>
      </c>
      <c r="AL11" s="249">
        <f t="shared" ref="AL11:AL22" si="1">ROUND((X11*43000+Z11*43000+AB11*43000),-3)</f>
        <v>0</v>
      </c>
      <c r="AM11" s="249">
        <f t="shared" ref="AM11:AM22" si="2">ROUND((AC11*54000+AA11*54000+Y11*57000),-3)</f>
        <v>0</v>
      </c>
      <c r="AN11" s="249">
        <f t="shared" ref="AN11:AN22" si="3">ROUND((T11*43000+V11*43000),-3)</f>
        <v>0</v>
      </c>
      <c r="AO11" s="249">
        <f t="shared" ref="AO11:AO26" si="4">ROUND((U11*48600+W11*52000),-3)</f>
        <v>0</v>
      </c>
      <c r="AP11" s="249"/>
      <c r="AQ11" s="287"/>
      <c r="AR11" s="251"/>
      <c r="AS11" s="251"/>
      <c r="AT11" s="251"/>
      <c r="AU11" s="251"/>
      <c r="AV11" s="252"/>
      <c r="AW11" s="253">
        <f>ROUND(SUM(AD11:AU11)-AV11,-3)</f>
        <v>16740000</v>
      </c>
      <c r="AX11" s="67">
        <f>ROUND(IF((AW11-AY11-AZ11-BA11)*0.5%&lt;234000,(AW11-AY11-AZ11-BA11)*0.5%,234000),-3)</f>
        <v>78000</v>
      </c>
      <c r="AY11" s="73">
        <v>794400</v>
      </c>
      <c r="AZ11" s="73">
        <v>148950</v>
      </c>
      <c r="BA11" s="73">
        <v>99300</v>
      </c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4">
        <f>SUM(AX11:BM11)</f>
        <v>1120650</v>
      </c>
      <c r="BO11" s="73"/>
      <c r="BP11" s="73"/>
      <c r="BQ11" s="74">
        <f>(AW11-BN11+BO11+BP11)</f>
        <v>15619350</v>
      </c>
      <c r="BR11" s="73">
        <v>100000</v>
      </c>
      <c r="BS11" s="73">
        <v>20</v>
      </c>
      <c r="BT11" s="73">
        <f>BS11*$BT$5</f>
        <v>660000</v>
      </c>
      <c r="BU11" s="74">
        <f>BQ11+BT11+BR11</f>
        <v>16379350</v>
      </c>
    </row>
    <row r="12" spans="1:73" s="49" customFormat="1" ht="34.5" customHeight="1" x14ac:dyDescent="0.25">
      <c r="A12" s="35">
        <v>2</v>
      </c>
      <c r="B12" s="63" t="s">
        <v>23</v>
      </c>
      <c r="C12" s="75" t="s">
        <v>88</v>
      </c>
      <c r="D12" s="238">
        <v>14700000</v>
      </c>
      <c r="E12" s="239">
        <v>525000</v>
      </c>
      <c r="F12" s="240">
        <v>6500000</v>
      </c>
      <c r="G12" s="239">
        <v>7510000</v>
      </c>
      <c r="H12" s="239">
        <v>525000</v>
      </c>
      <c r="I12" s="241" t="s">
        <v>21</v>
      </c>
      <c r="J12" s="243">
        <v>10</v>
      </c>
      <c r="K12" s="242">
        <v>1</v>
      </c>
      <c r="L12" s="243">
        <v>0</v>
      </c>
      <c r="M12" s="242">
        <v>0</v>
      </c>
      <c r="N12" s="242"/>
      <c r="O12" s="242">
        <v>0</v>
      </c>
      <c r="P12" s="244">
        <v>0</v>
      </c>
      <c r="Q12" s="244"/>
      <c r="R12" s="244"/>
      <c r="S12" s="244">
        <v>10</v>
      </c>
      <c r="T12" s="245">
        <v>0</v>
      </c>
      <c r="U12" s="245">
        <v>0</v>
      </c>
      <c r="V12" s="245">
        <v>0</v>
      </c>
      <c r="W12" s="245"/>
      <c r="X12" s="245">
        <v>0</v>
      </c>
      <c r="Y12" s="245">
        <v>0</v>
      </c>
      <c r="Z12" s="245">
        <v>4</v>
      </c>
      <c r="AA12" s="245">
        <v>0</v>
      </c>
      <c r="AB12" s="245">
        <v>28</v>
      </c>
      <c r="AC12" s="245">
        <v>0</v>
      </c>
      <c r="AD12" s="241">
        <f>ROUND(F12*(J12)/$A$5*$B$5,-3)</f>
        <v>2631000</v>
      </c>
      <c r="AE12" s="246">
        <f>ROUND(IF(I12="A",(D12-F12-4500000)*(J12)/$A$5*$B$5,IF(I12="B",(D12-F12-4500000)*0.5*(J12)/$A$5*$B$5,IF(I12="C",0))),-3)</f>
        <v>1498000</v>
      </c>
      <c r="AF12" s="247">
        <f>ROUND(G12*(K12)/$A$5,-3)</f>
        <v>358000</v>
      </c>
      <c r="AG12" s="247"/>
      <c r="AH12" s="247">
        <f t="shared" ref="AH12:AH26" si="5">ROUND((D12)*M12/$A$5,-3)</f>
        <v>0</v>
      </c>
      <c r="AI12" s="247">
        <f>ROUND(G12*(L12)/$A$5,-3)</f>
        <v>0</v>
      </c>
      <c r="AJ12" s="247">
        <f>ROUND(G12*N12/$A$5*85%,-3)</f>
        <v>0</v>
      </c>
      <c r="AK12" s="251">
        <f t="shared" si="0"/>
        <v>0</v>
      </c>
      <c r="AL12" s="249">
        <f>ROUND((X12*43000+Z12*43000+AB12*43000),-3)</f>
        <v>1376000</v>
      </c>
      <c r="AM12" s="249">
        <f t="shared" si="2"/>
        <v>0</v>
      </c>
      <c r="AN12" s="249">
        <f t="shared" si="3"/>
        <v>0</v>
      </c>
      <c r="AO12" s="249">
        <f t="shared" si="4"/>
        <v>0</v>
      </c>
      <c r="AP12" s="250"/>
      <c r="AQ12" s="247">
        <v>525000</v>
      </c>
      <c r="AR12" s="247"/>
      <c r="AS12" s="251"/>
      <c r="AT12" s="251"/>
      <c r="AU12" s="251"/>
      <c r="AV12" s="252"/>
      <c r="AW12" s="253">
        <f>ROUND(SUM(AD12:AU12)-AV12,-3)</f>
        <v>6388000</v>
      </c>
      <c r="AX12" s="67">
        <f t="shared" ref="AX12" si="6">ROUND(IF((AW12-AY12-AZ12-BA12)*0.5%&lt;234000,(AW12-AY12-AZ12-BA12)*0.5%,234000),-3)</f>
        <v>28000</v>
      </c>
      <c r="AY12" s="73">
        <v>642800</v>
      </c>
      <c r="AZ12" s="73">
        <v>120525</v>
      </c>
      <c r="BA12" s="73">
        <v>80350</v>
      </c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4">
        <f t="shared" ref="BN12:BN26" si="7">SUM(AX12:BM12)</f>
        <v>871675</v>
      </c>
      <c r="BO12" s="73"/>
      <c r="BP12" s="73"/>
      <c r="BQ12" s="74">
        <f t="shared" ref="BQ12:BQ26" si="8">(AW12-BN12+BO12+BP12)</f>
        <v>5516325</v>
      </c>
      <c r="BR12" s="73"/>
      <c r="BS12" s="73">
        <v>10</v>
      </c>
      <c r="BT12" s="73">
        <f>BS12*$BT$5</f>
        <v>330000</v>
      </c>
      <c r="BU12" s="74">
        <f t="shared" ref="BU12:BU26" si="9">BQ12+BT12+BR12</f>
        <v>5846325</v>
      </c>
    </row>
    <row r="13" spans="1:73" s="49" customFormat="1" ht="34.5" customHeight="1" x14ac:dyDescent="0.25">
      <c r="A13" s="35">
        <v>3</v>
      </c>
      <c r="B13" s="63" t="s">
        <v>25</v>
      </c>
      <c r="C13" s="65" t="s">
        <v>24</v>
      </c>
      <c r="D13" s="238">
        <v>14700000</v>
      </c>
      <c r="E13" s="239"/>
      <c r="F13" s="240">
        <v>6500000</v>
      </c>
      <c r="G13" s="239">
        <v>7510000</v>
      </c>
      <c r="H13" s="239"/>
      <c r="I13" s="241" t="s">
        <v>21</v>
      </c>
      <c r="J13" s="242">
        <v>20</v>
      </c>
      <c r="K13" s="242">
        <v>1</v>
      </c>
      <c r="L13" s="242">
        <v>0</v>
      </c>
      <c r="M13" s="242">
        <v>0</v>
      </c>
      <c r="N13" s="242"/>
      <c r="O13" s="242">
        <v>0</v>
      </c>
      <c r="P13" s="254">
        <v>0</v>
      </c>
      <c r="Q13" s="244"/>
      <c r="R13" s="244"/>
      <c r="S13" s="244">
        <v>0</v>
      </c>
      <c r="T13" s="247">
        <v>0</v>
      </c>
      <c r="U13" s="247">
        <v>0</v>
      </c>
      <c r="V13" s="247">
        <v>0</v>
      </c>
      <c r="W13" s="247"/>
      <c r="X13" s="247">
        <v>0</v>
      </c>
      <c r="Y13" s="247">
        <v>0</v>
      </c>
      <c r="Z13" s="247">
        <v>10.933333333333337</v>
      </c>
      <c r="AA13" s="247">
        <v>0</v>
      </c>
      <c r="AB13" s="247">
        <v>55</v>
      </c>
      <c r="AC13" s="247">
        <v>0</v>
      </c>
      <c r="AD13" s="241">
        <f>ROUND(F13*(J13)/$A$5*$B$5,-3)</f>
        <v>5262000</v>
      </c>
      <c r="AE13" s="246">
        <f>ROUND(IF(I13="A",(D13-F13-4500000)*(J13)/$A$5*$B$5,IF(I13="B",(D13-F13-4500000)*0.5*(J13)/$A$5*$B$5,IF(I13="C",0))),-3)</f>
        <v>2995000</v>
      </c>
      <c r="AF13" s="247">
        <f>ROUND(G13*(K13)/$A$5,-3)</f>
        <v>358000</v>
      </c>
      <c r="AG13" s="247"/>
      <c r="AH13" s="247">
        <f t="shared" si="5"/>
        <v>0</v>
      </c>
      <c r="AI13" s="247">
        <f>ROUND(G13*(L13)/$A$5,-3)</f>
        <v>0</v>
      </c>
      <c r="AJ13" s="247">
        <f>ROUND(G13*N13/$A$5*85%,-3)</f>
        <v>0</v>
      </c>
      <c r="AK13" s="251">
        <f t="shared" si="0"/>
        <v>0</v>
      </c>
      <c r="AL13" s="249">
        <f t="shared" si="1"/>
        <v>2835000</v>
      </c>
      <c r="AM13" s="249">
        <f t="shared" si="2"/>
        <v>0</v>
      </c>
      <c r="AN13" s="249">
        <f t="shared" si="3"/>
        <v>0</v>
      </c>
      <c r="AO13" s="249">
        <f t="shared" si="4"/>
        <v>0</v>
      </c>
      <c r="AP13" s="250"/>
      <c r="AQ13" s="255"/>
      <c r="AR13" s="247"/>
      <c r="AS13" s="251"/>
      <c r="AT13" s="251"/>
      <c r="AU13" s="251"/>
      <c r="AV13" s="252"/>
      <c r="AW13" s="253">
        <f>ROUND(SUM(AD13:AU13)-AV13,-3)</f>
        <v>11450000</v>
      </c>
      <c r="AX13" s="67">
        <f>ROUND(IF((AW13-AY13-AZ13-BA13-BM13)*0.5%&lt;234000,(AW13-AY13-AZ13-BA13-BM13)*0.5%,234000),-3)</f>
        <v>53000</v>
      </c>
      <c r="AY13" s="73">
        <v>600800</v>
      </c>
      <c r="AZ13" s="73">
        <v>112650</v>
      </c>
      <c r="BA13" s="73">
        <v>75100</v>
      </c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4">
        <f t="shared" si="7"/>
        <v>841550</v>
      </c>
      <c r="BO13" s="73"/>
      <c r="BP13" s="73">
        <v>80000</v>
      </c>
      <c r="BQ13" s="74">
        <f t="shared" si="8"/>
        <v>10688450</v>
      </c>
      <c r="BR13" s="73">
        <v>100000</v>
      </c>
      <c r="BS13" s="73">
        <v>20</v>
      </c>
      <c r="BT13" s="73">
        <f t="shared" ref="BT13:BT26" si="10">BS13*$BT$5</f>
        <v>660000</v>
      </c>
      <c r="BU13" s="74">
        <f t="shared" si="9"/>
        <v>11448450</v>
      </c>
    </row>
    <row r="14" spans="1:73" s="49" customFormat="1" ht="34.5" customHeight="1" x14ac:dyDescent="0.25">
      <c r="A14" s="35">
        <v>4</v>
      </c>
      <c r="B14" s="63" t="s">
        <v>26</v>
      </c>
      <c r="C14" s="64" t="s">
        <v>89</v>
      </c>
      <c r="D14" s="238">
        <v>14200000</v>
      </c>
      <c r="E14" s="239">
        <v>525000</v>
      </c>
      <c r="F14" s="240">
        <v>6500000</v>
      </c>
      <c r="G14" s="239">
        <v>7140000</v>
      </c>
      <c r="H14" s="239">
        <v>525000</v>
      </c>
      <c r="I14" s="241" t="s">
        <v>21</v>
      </c>
      <c r="J14" s="242">
        <v>20</v>
      </c>
      <c r="K14" s="242">
        <v>1</v>
      </c>
      <c r="L14" s="242">
        <v>0</v>
      </c>
      <c r="M14" s="242">
        <v>0</v>
      </c>
      <c r="N14" s="242"/>
      <c r="O14" s="242">
        <v>0</v>
      </c>
      <c r="P14" s="254">
        <v>0</v>
      </c>
      <c r="Q14" s="244"/>
      <c r="R14" s="244"/>
      <c r="S14" s="244">
        <v>0</v>
      </c>
      <c r="T14" s="245">
        <v>0</v>
      </c>
      <c r="U14" s="245">
        <v>0</v>
      </c>
      <c r="V14" s="245">
        <v>0</v>
      </c>
      <c r="W14" s="245">
        <v>0</v>
      </c>
      <c r="X14" s="245">
        <v>0</v>
      </c>
      <c r="Y14" s="245">
        <v>0</v>
      </c>
      <c r="Z14" s="245">
        <v>3.1499999999999986</v>
      </c>
      <c r="AA14" s="245">
        <v>0</v>
      </c>
      <c r="AB14" s="245">
        <v>10</v>
      </c>
      <c r="AC14" s="245">
        <v>0</v>
      </c>
      <c r="AD14" s="241">
        <f>ROUND(F14*(J14)/$A$5*$B$5,-3)</f>
        <v>5262000</v>
      </c>
      <c r="AE14" s="246">
        <f>ROUND(IF(I14="A",(D14-F14-4500000)*(J14)/$A$5*$B$5,IF(I14="B",(D14-F14-4500000)*0.5*(J14)/$A$5*$B$5,IF(I14="C",0))),-3)</f>
        <v>2590000</v>
      </c>
      <c r="AF14" s="247">
        <f>ROUND(G14*(K14)/$A$5,-3)</f>
        <v>340000</v>
      </c>
      <c r="AG14" s="247"/>
      <c r="AH14" s="247">
        <f t="shared" si="5"/>
        <v>0</v>
      </c>
      <c r="AI14" s="247">
        <f>ROUND(G14*(L14)/$A$5,-3)</f>
        <v>0</v>
      </c>
      <c r="AJ14" s="247">
        <f>ROUND(G14*N14/$A$5*85%,-3)</f>
        <v>0</v>
      </c>
      <c r="AK14" s="251">
        <f t="shared" si="0"/>
        <v>0</v>
      </c>
      <c r="AL14" s="249">
        <f t="shared" si="1"/>
        <v>565000</v>
      </c>
      <c r="AM14" s="249">
        <f t="shared" si="2"/>
        <v>0</v>
      </c>
      <c r="AN14" s="249">
        <f t="shared" si="3"/>
        <v>0</v>
      </c>
      <c r="AO14" s="249">
        <f t="shared" si="4"/>
        <v>0</v>
      </c>
      <c r="AP14" s="250"/>
      <c r="AQ14" s="247">
        <v>525000</v>
      </c>
      <c r="AR14" s="247"/>
      <c r="AS14" s="251"/>
      <c r="AT14" s="251"/>
      <c r="AU14" s="251"/>
      <c r="AV14" s="252"/>
      <c r="AW14" s="253">
        <f>ROUND(SUM(AD14:AU14)-AV14,-3)</f>
        <v>9282000</v>
      </c>
      <c r="AX14" s="67">
        <f t="shared" ref="AX14:AX26" si="11">ROUND(IF((AW14-AY14-AZ14-BA14-BM14)*0.5%&lt;234000,(AW14-AY14-AZ14-BA14-BM14)*0.5%,234000),-3)</f>
        <v>42000</v>
      </c>
      <c r="AY14" s="73">
        <v>613200</v>
      </c>
      <c r="AZ14" s="73">
        <v>114975</v>
      </c>
      <c r="BA14" s="73">
        <v>76650</v>
      </c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4">
        <f t="shared" si="7"/>
        <v>846825</v>
      </c>
      <c r="BO14" s="73"/>
      <c r="BP14" s="73"/>
      <c r="BQ14" s="74">
        <f t="shared" si="8"/>
        <v>8435175</v>
      </c>
      <c r="BR14" s="73">
        <v>100000</v>
      </c>
      <c r="BS14" s="73">
        <v>20</v>
      </c>
      <c r="BT14" s="73">
        <f t="shared" si="10"/>
        <v>660000</v>
      </c>
      <c r="BU14" s="74">
        <f t="shared" si="9"/>
        <v>9195175</v>
      </c>
    </row>
    <row r="15" spans="1:73" s="50" customFormat="1" ht="34.5" customHeight="1" x14ac:dyDescent="0.25">
      <c r="A15" s="35">
        <v>5</v>
      </c>
      <c r="B15" s="63" t="s">
        <v>27</v>
      </c>
      <c r="C15" s="65" t="s">
        <v>24</v>
      </c>
      <c r="D15" s="238">
        <v>14200000</v>
      </c>
      <c r="E15" s="371"/>
      <c r="F15" s="241">
        <v>6500000</v>
      </c>
      <c r="G15" s="239">
        <v>7140000</v>
      </c>
      <c r="H15" s="239"/>
      <c r="I15" s="241" t="s">
        <v>21</v>
      </c>
      <c r="J15" s="242">
        <v>20</v>
      </c>
      <c r="K15" s="242">
        <v>1</v>
      </c>
      <c r="L15" s="242"/>
      <c r="M15" s="242"/>
      <c r="N15" s="242"/>
      <c r="O15" s="242"/>
      <c r="P15" s="254"/>
      <c r="Q15" s="244"/>
      <c r="R15" s="244"/>
      <c r="S15" s="244"/>
      <c r="T15" s="242"/>
      <c r="U15" s="242"/>
      <c r="V15" s="242"/>
      <c r="W15" s="242"/>
      <c r="X15" s="242"/>
      <c r="Y15" s="242"/>
      <c r="Z15" s="242">
        <v>28.966666666666669</v>
      </c>
      <c r="AA15" s="242"/>
      <c r="AB15" s="243">
        <v>44.9</v>
      </c>
      <c r="AC15" s="242"/>
      <c r="AD15" s="241">
        <f>ROUND(F15*(J15)/$A$5*$B$5,-3)</f>
        <v>5262000</v>
      </c>
      <c r="AE15" s="246">
        <f>ROUND(IF(I15="A",(D15-F15-4500000)*(J15)/$A$5*$B$5,IF(I15="B",(D15-F15-4500000)*0.5*(J15)/$A$5*$B$5,IF(I15="C",0))),-3)</f>
        <v>2590000</v>
      </c>
      <c r="AF15" s="247">
        <f>ROUND(G15*(K15)/$A$5,-3)</f>
        <v>340000</v>
      </c>
      <c r="AG15" s="247"/>
      <c r="AH15" s="247">
        <f t="shared" si="5"/>
        <v>0</v>
      </c>
      <c r="AI15" s="247">
        <f>ROUND(G15*(L15)/$A$5,-3)</f>
        <v>0</v>
      </c>
      <c r="AJ15" s="247">
        <f>ROUND(G15*N15/$A$5*85%,-3)</f>
        <v>0</v>
      </c>
      <c r="AK15" s="251">
        <f t="shared" si="0"/>
        <v>0</v>
      </c>
      <c r="AL15" s="249">
        <f t="shared" si="1"/>
        <v>3176000</v>
      </c>
      <c r="AM15" s="249">
        <f t="shared" si="2"/>
        <v>0</v>
      </c>
      <c r="AN15" s="249">
        <f t="shared" si="3"/>
        <v>0</v>
      </c>
      <c r="AO15" s="249">
        <f t="shared" si="4"/>
        <v>0</v>
      </c>
      <c r="AP15" s="250"/>
      <c r="AQ15" s="247"/>
      <c r="AR15" s="247"/>
      <c r="AS15" s="251"/>
      <c r="AT15" s="251"/>
      <c r="AU15" s="251"/>
      <c r="AV15" s="252"/>
      <c r="AW15" s="253">
        <f>ROUND(SUM(AD15:AU15)-AV15,-3)</f>
        <v>11368000</v>
      </c>
      <c r="AX15" s="67">
        <f t="shared" si="11"/>
        <v>53000</v>
      </c>
      <c r="AY15" s="73">
        <v>571200</v>
      </c>
      <c r="AZ15" s="73">
        <v>107100</v>
      </c>
      <c r="BA15" s="73">
        <v>71400</v>
      </c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4">
        <f t="shared" si="7"/>
        <v>802700</v>
      </c>
      <c r="BO15" s="73"/>
      <c r="BP15" s="73"/>
      <c r="BQ15" s="74">
        <f t="shared" si="8"/>
        <v>10565300</v>
      </c>
      <c r="BR15" s="73">
        <v>100000</v>
      </c>
      <c r="BS15" s="73">
        <v>20</v>
      </c>
      <c r="BT15" s="73">
        <f t="shared" si="10"/>
        <v>660000</v>
      </c>
      <c r="BU15" s="74">
        <f t="shared" si="9"/>
        <v>11325300</v>
      </c>
    </row>
    <row r="16" spans="1:73" s="50" customFormat="1" ht="34.5" customHeight="1" x14ac:dyDescent="0.25">
      <c r="A16" s="35">
        <v>6</v>
      </c>
      <c r="B16" s="63" t="s">
        <v>45</v>
      </c>
      <c r="C16" s="65" t="s">
        <v>24</v>
      </c>
      <c r="D16" s="238">
        <v>14700000</v>
      </c>
      <c r="E16" s="239"/>
      <c r="F16" s="240">
        <v>6500000</v>
      </c>
      <c r="G16" s="239">
        <v>7510000</v>
      </c>
      <c r="H16" s="239"/>
      <c r="I16" s="241" t="s">
        <v>21</v>
      </c>
      <c r="J16" s="242">
        <v>20</v>
      </c>
      <c r="K16" s="242">
        <v>1</v>
      </c>
      <c r="L16" s="242">
        <v>0</v>
      </c>
      <c r="M16" s="242">
        <v>0</v>
      </c>
      <c r="N16" s="242"/>
      <c r="O16" s="242">
        <v>0</v>
      </c>
      <c r="P16" s="254">
        <v>0</v>
      </c>
      <c r="Q16" s="244"/>
      <c r="R16" s="244"/>
      <c r="S16" s="244">
        <v>0</v>
      </c>
      <c r="T16" s="243">
        <v>0</v>
      </c>
      <c r="U16" s="243">
        <v>0</v>
      </c>
      <c r="V16" s="243">
        <v>0</v>
      </c>
      <c r="W16" s="243"/>
      <c r="X16" s="243">
        <v>0</v>
      </c>
      <c r="Y16" s="243">
        <v>0</v>
      </c>
      <c r="Z16" s="243">
        <v>0.60000000000000142</v>
      </c>
      <c r="AA16" s="243">
        <v>0</v>
      </c>
      <c r="AB16" s="243">
        <v>22</v>
      </c>
      <c r="AC16" s="243">
        <v>10</v>
      </c>
      <c r="AD16" s="241">
        <f t="shared" ref="AD16:AD22" si="12">ROUND(F16*(J16)/$A$5*$B$5,-3)</f>
        <v>5262000</v>
      </c>
      <c r="AE16" s="246">
        <f t="shared" ref="AE16:AE21" si="13">ROUND(IF(I16="A",(D16-F16-4500000)*(J16)/$A$5*$B$5,IF(I16="B",(D16-F16-4500000)*0.5*(J16)/$A$5*$B$5,IF(I16="C",0))),-3)</f>
        <v>2995000</v>
      </c>
      <c r="AF16" s="247">
        <f t="shared" ref="AF16:AF26" si="14">ROUND(G16*(K16)/$A$5,-3)</f>
        <v>358000</v>
      </c>
      <c r="AG16" s="247"/>
      <c r="AH16" s="247">
        <f t="shared" si="5"/>
        <v>0</v>
      </c>
      <c r="AI16" s="247">
        <f t="shared" ref="AI16:AI21" si="15">ROUND(G16*(L16)/$A$5,-3)</f>
        <v>0</v>
      </c>
      <c r="AJ16" s="247">
        <f t="shared" ref="AJ16:AJ26" si="16">ROUND(G16*N16/$A$5*85%,-3)</f>
        <v>0</v>
      </c>
      <c r="AK16" s="251">
        <f t="shared" si="0"/>
        <v>0</v>
      </c>
      <c r="AL16" s="249">
        <f t="shared" si="1"/>
        <v>972000</v>
      </c>
      <c r="AM16" s="249">
        <f t="shared" si="2"/>
        <v>540000</v>
      </c>
      <c r="AN16" s="249">
        <f>ROUND((T16*43000+V16*43000),-3)</f>
        <v>0</v>
      </c>
      <c r="AO16" s="249">
        <f t="shared" si="4"/>
        <v>0</v>
      </c>
      <c r="AP16" s="250"/>
      <c r="AQ16" s="258"/>
      <c r="AR16" s="247">
        <f>E16*(J16+K16)/$A$5</f>
        <v>0</v>
      </c>
      <c r="AS16" s="247"/>
      <c r="AT16" s="247"/>
      <c r="AU16" s="247"/>
      <c r="AV16" s="259"/>
      <c r="AW16" s="253">
        <f t="shared" ref="AW16:AW26" si="17">ROUND(SUM(AD16:AU16)-AV16,-3)</f>
        <v>10127000</v>
      </c>
      <c r="AX16" s="67">
        <f t="shared" si="11"/>
        <v>44000</v>
      </c>
      <c r="AY16" s="73">
        <v>600800</v>
      </c>
      <c r="AZ16" s="73">
        <v>112650</v>
      </c>
      <c r="BA16" s="73">
        <v>75100</v>
      </c>
      <c r="BB16" s="73"/>
      <c r="BC16" s="73"/>
      <c r="BD16" s="73"/>
      <c r="BE16" s="73"/>
      <c r="BF16" s="73"/>
      <c r="BG16" s="73"/>
      <c r="BH16" s="73"/>
      <c r="BI16" s="73"/>
      <c r="BJ16" s="73">
        <v>2022000</v>
      </c>
      <c r="BK16" s="73"/>
      <c r="BL16" s="73"/>
      <c r="BM16" s="73">
        <v>500000</v>
      </c>
      <c r="BN16" s="74">
        <f t="shared" si="7"/>
        <v>3354550</v>
      </c>
      <c r="BO16" s="73"/>
      <c r="BP16" s="73"/>
      <c r="BQ16" s="74">
        <f t="shared" si="8"/>
        <v>6772450</v>
      </c>
      <c r="BR16" s="73">
        <v>100000</v>
      </c>
      <c r="BS16" s="73">
        <v>20</v>
      </c>
      <c r="BT16" s="73">
        <f t="shared" si="10"/>
        <v>660000</v>
      </c>
      <c r="BU16" s="74">
        <f t="shared" si="9"/>
        <v>7532450</v>
      </c>
    </row>
    <row r="17" spans="1:73" s="50" customFormat="1" ht="34.5" customHeight="1" x14ac:dyDescent="0.25">
      <c r="A17" s="35">
        <v>7</v>
      </c>
      <c r="B17" s="63" t="s">
        <v>22</v>
      </c>
      <c r="C17" s="64" t="s">
        <v>53</v>
      </c>
      <c r="D17" s="238">
        <v>14200000</v>
      </c>
      <c r="E17" s="239">
        <v>420000</v>
      </c>
      <c r="F17" s="240">
        <v>6500000</v>
      </c>
      <c r="G17" s="239">
        <v>7140000</v>
      </c>
      <c r="H17" s="239">
        <v>420000</v>
      </c>
      <c r="I17" s="241" t="s">
        <v>21</v>
      </c>
      <c r="J17" s="242">
        <v>20</v>
      </c>
      <c r="K17" s="242">
        <v>1</v>
      </c>
      <c r="L17" s="242">
        <v>0</v>
      </c>
      <c r="M17" s="242">
        <v>0</v>
      </c>
      <c r="N17" s="242"/>
      <c r="O17" s="242">
        <v>0</v>
      </c>
      <c r="P17" s="254">
        <v>66.25</v>
      </c>
      <c r="Q17" s="254"/>
      <c r="R17" s="254"/>
      <c r="S17" s="244">
        <v>0</v>
      </c>
      <c r="T17" s="243">
        <v>0</v>
      </c>
      <c r="U17" s="243">
        <v>0</v>
      </c>
      <c r="V17" s="243">
        <v>0</v>
      </c>
      <c r="W17" s="243"/>
      <c r="X17" s="243">
        <v>0</v>
      </c>
      <c r="Y17" s="243">
        <v>0</v>
      </c>
      <c r="Z17" s="243">
        <v>0</v>
      </c>
      <c r="AA17" s="243">
        <v>0</v>
      </c>
      <c r="AB17" s="243">
        <v>37.933333333333337</v>
      </c>
      <c r="AC17" s="243">
        <v>0</v>
      </c>
      <c r="AD17" s="241">
        <f t="shared" si="12"/>
        <v>5262000</v>
      </c>
      <c r="AE17" s="246">
        <f>ROUND(IF(I17="A",(D17-F17-4500000)*(J17)/$A$5*$B$5,IF(I17="B",(D17-F17-4500000)*0.5*(J17)/$A$5*$B$5,IF(I17="C",0))),-3)</f>
        <v>2590000</v>
      </c>
      <c r="AF17" s="247">
        <f t="shared" si="14"/>
        <v>340000</v>
      </c>
      <c r="AG17" s="247"/>
      <c r="AH17" s="247">
        <f t="shared" si="5"/>
        <v>0</v>
      </c>
      <c r="AI17" s="247">
        <f t="shared" si="15"/>
        <v>0</v>
      </c>
      <c r="AJ17" s="260">
        <f t="shared" si="16"/>
        <v>0</v>
      </c>
      <c r="AK17" s="251">
        <f>ROUND(P17*316000,-3)</f>
        <v>20935000</v>
      </c>
      <c r="AL17" s="249">
        <f t="shared" si="1"/>
        <v>1631000</v>
      </c>
      <c r="AM17" s="249">
        <f t="shared" si="2"/>
        <v>0</v>
      </c>
      <c r="AN17" s="249">
        <f t="shared" si="3"/>
        <v>0</v>
      </c>
      <c r="AO17" s="249">
        <f t="shared" si="4"/>
        <v>0</v>
      </c>
      <c r="AP17" s="250"/>
      <c r="AQ17" s="238">
        <v>420000</v>
      </c>
      <c r="AR17" s="238"/>
      <c r="AS17" s="247"/>
      <c r="AT17" s="247"/>
      <c r="AU17" s="247"/>
      <c r="AV17" s="261"/>
      <c r="AW17" s="253">
        <f t="shared" si="17"/>
        <v>31178000</v>
      </c>
      <c r="AX17" s="67">
        <f t="shared" si="11"/>
        <v>152000</v>
      </c>
      <c r="AY17" s="73">
        <v>604800</v>
      </c>
      <c r="AZ17" s="73">
        <v>113400</v>
      </c>
      <c r="BA17" s="73">
        <v>75600</v>
      </c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4">
        <f t="shared" si="7"/>
        <v>945800</v>
      </c>
      <c r="BO17" s="73"/>
      <c r="BP17" s="73"/>
      <c r="BQ17" s="74">
        <f t="shared" si="8"/>
        <v>30232200</v>
      </c>
      <c r="BR17" s="73">
        <v>100000</v>
      </c>
      <c r="BS17" s="73">
        <v>20</v>
      </c>
      <c r="BT17" s="73">
        <f t="shared" si="10"/>
        <v>660000</v>
      </c>
      <c r="BU17" s="74">
        <f t="shared" si="9"/>
        <v>30992200</v>
      </c>
    </row>
    <row r="18" spans="1:73" s="50" customFormat="1" ht="34.5" customHeight="1" x14ac:dyDescent="0.25">
      <c r="A18" s="35">
        <v>8</v>
      </c>
      <c r="B18" s="66" t="s">
        <v>54</v>
      </c>
      <c r="C18" s="65" t="s">
        <v>24</v>
      </c>
      <c r="D18" s="238">
        <v>13690000</v>
      </c>
      <c r="E18" s="242"/>
      <c r="F18" s="240">
        <v>6500000</v>
      </c>
      <c r="G18" s="239">
        <v>6800000</v>
      </c>
      <c r="H18" s="239"/>
      <c r="I18" s="241" t="s">
        <v>21</v>
      </c>
      <c r="J18" s="242">
        <v>20</v>
      </c>
      <c r="K18" s="242">
        <v>1</v>
      </c>
      <c r="L18" s="242">
        <v>0</v>
      </c>
      <c r="M18" s="242">
        <v>0</v>
      </c>
      <c r="N18" s="242"/>
      <c r="O18" s="242">
        <v>0</v>
      </c>
      <c r="P18" s="254">
        <v>0</v>
      </c>
      <c r="Q18" s="254"/>
      <c r="R18" s="254"/>
      <c r="S18" s="244">
        <v>0</v>
      </c>
      <c r="T18" s="243">
        <v>50</v>
      </c>
      <c r="U18" s="243">
        <v>0</v>
      </c>
      <c r="V18" s="243">
        <v>0</v>
      </c>
      <c r="W18" s="243">
        <v>0</v>
      </c>
      <c r="X18" s="243">
        <v>2.6499999999999986</v>
      </c>
      <c r="Y18" s="243">
        <v>0</v>
      </c>
      <c r="Z18" s="243">
        <v>0</v>
      </c>
      <c r="AA18" s="243">
        <v>0</v>
      </c>
      <c r="AB18" s="243">
        <v>9.1333333333333258</v>
      </c>
      <c r="AC18" s="243">
        <v>0</v>
      </c>
      <c r="AD18" s="241">
        <f t="shared" si="12"/>
        <v>5262000</v>
      </c>
      <c r="AE18" s="246">
        <f t="shared" si="13"/>
        <v>2178000</v>
      </c>
      <c r="AF18" s="247">
        <f t="shared" si="14"/>
        <v>324000</v>
      </c>
      <c r="AG18" s="247"/>
      <c r="AH18" s="247">
        <f t="shared" si="5"/>
        <v>0</v>
      </c>
      <c r="AI18" s="247">
        <f t="shared" si="15"/>
        <v>0</v>
      </c>
      <c r="AJ18" s="247">
        <f t="shared" si="16"/>
        <v>0</v>
      </c>
      <c r="AK18" s="251">
        <f>ROUND(P18*316000,-3)+ROUND(O18*316000,-3)</f>
        <v>0</v>
      </c>
      <c r="AL18" s="249">
        <f t="shared" si="1"/>
        <v>507000</v>
      </c>
      <c r="AM18" s="249">
        <f t="shared" si="2"/>
        <v>0</v>
      </c>
      <c r="AN18" s="249">
        <f t="shared" si="3"/>
        <v>2150000</v>
      </c>
      <c r="AO18" s="249">
        <f t="shared" si="4"/>
        <v>0</v>
      </c>
      <c r="AP18" s="250"/>
      <c r="AQ18" s="258"/>
      <c r="AR18" s="247">
        <f>E18*(J18+K18)/$A$5</f>
        <v>0</v>
      </c>
      <c r="AS18" s="247"/>
      <c r="AT18" s="247"/>
      <c r="AU18" s="247"/>
      <c r="AV18" s="261"/>
      <c r="AW18" s="253">
        <f t="shared" si="17"/>
        <v>10421000</v>
      </c>
      <c r="AX18" s="67">
        <f t="shared" si="11"/>
        <v>49000</v>
      </c>
      <c r="AY18" s="73">
        <v>544000</v>
      </c>
      <c r="AZ18" s="73">
        <v>102000</v>
      </c>
      <c r="BA18" s="73">
        <v>68000</v>
      </c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4">
        <f t="shared" si="7"/>
        <v>763000</v>
      </c>
      <c r="BO18" s="73"/>
      <c r="BP18" s="73">
        <v>80000</v>
      </c>
      <c r="BQ18" s="74">
        <f t="shared" si="8"/>
        <v>9738000</v>
      </c>
      <c r="BR18" s="73">
        <v>100000</v>
      </c>
      <c r="BS18" s="73">
        <v>20</v>
      </c>
      <c r="BT18" s="73">
        <f t="shared" si="10"/>
        <v>660000</v>
      </c>
      <c r="BU18" s="74">
        <f t="shared" si="9"/>
        <v>10498000</v>
      </c>
    </row>
    <row r="19" spans="1:73" s="51" customFormat="1" ht="34.5" customHeight="1" x14ac:dyDescent="0.25">
      <c r="A19" s="35">
        <v>9</v>
      </c>
      <c r="B19" s="66" t="s">
        <v>59</v>
      </c>
      <c r="C19" s="65" t="s">
        <v>24</v>
      </c>
      <c r="D19" s="238">
        <v>14200000</v>
      </c>
      <c r="E19" s="242"/>
      <c r="F19" s="240">
        <v>6500000</v>
      </c>
      <c r="G19" s="239">
        <v>7140000</v>
      </c>
      <c r="H19" s="239"/>
      <c r="I19" s="241" t="s">
        <v>21</v>
      </c>
      <c r="J19" s="242">
        <v>20</v>
      </c>
      <c r="K19" s="242">
        <v>1</v>
      </c>
      <c r="L19" s="242">
        <v>0</v>
      </c>
      <c r="M19" s="242">
        <v>0</v>
      </c>
      <c r="N19" s="242"/>
      <c r="O19" s="242">
        <v>0</v>
      </c>
      <c r="P19" s="254">
        <v>0</v>
      </c>
      <c r="Q19" s="244"/>
      <c r="R19" s="244"/>
      <c r="S19" s="244">
        <v>0</v>
      </c>
      <c r="T19" s="243">
        <v>0</v>
      </c>
      <c r="U19" s="243">
        <v>0</v>
      </c>
      <c r="V19" s="243">
        <v>0</v>
      </c>
      <c r="W19" s="243">
        <v>0</v>
      </c>
      <c r="X19" s="243">
        <v>0</v>
      </c>
      <c r="Y19" s="243">
        <v>0</v>
      </c>
      <c r="Z19" s="243">
        <v>0</v>
      </c>
      <c r="AA19" s="243">
        <v>0</v>
      </c>
      <c r="AB19" s="243">
        <v>8</v>
      </c>
      <c r="AC19" s="243">
        <v>0</v>
      </c>
      <c r="AD19" s="241">
        <f t="shared" si="12"/>
        <v>5262000</v>
      </c>
      <c r="AE19" s="246">
        <f t="shared" si="13"/>
        <v>2590000</v>
      </c>
      <c r="AF19" s="247">
        <f t="shared" si="14"/>
        <v>340000</v>
      </c>
      <c r="AG19" s="247"/>
      <c r="AH19" s="247">
        <f t="shared" si="5"/>
        <v>0</v>
      </c>
      <c r="AI19" s="247">
        <f t="shared" si="15"/>
        <v>0</v>
      </c>
      <c r="AJ19" s="247">
        <f t="shared" si="16"/>
        <v>0</v>
      </c>
      <c r="AK19" s="251">
        <f t="shared" ref="AK19:AK26" si="18">ROUND(P19*316000,-3)</f>
        <v>0</v>
      </c>
      <c r="AL19" s="249">
        <f t="shared" si="1"/>
        <v>344000</v>
      </c>
      <c r="AM19" s="249">
        <f t="shared" si="2"/>
        <v>0</v>
      </c>
      <c r="AN19" s="249">
        <f t="shared" si="3"/>
        <v>0</v>
      </c>
      <c r="AO19" s="249">
        <f t="shared" si="4"/>
        <v>0</v>
      </c>
      <c r="AP19" s="250"/>
      <c r="AQ19" s="258"/>
      <c r="AR19" s="247">
        <f>E19*(J19+K19)/$A$5</f>
        <v>0</v>
      </c>
      <c r="AS19" s="241"/>
      <c r="AT19" s="241"/>
      <c r="AU19" s="241"/>
      <c r="AV19" s="261"/>
      <c r="AW19" s="253">
        <f t="shared" si="17"/>
        <v>8536000</v>
      </c>
      <c r="AX19" s="67">
        <f t="shared" si="11"/>
        <v>39000</v>
      </c>
      <c r="AY19" s="73">
        <v>571200</v>
      </c>
      <c r="AZ19" s="73">
        <v>107100</v>
      </c>
      <c r="BA19" s="73">
        <v>71400</v>
      </c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4">
        <f t="shared" si="7"/>
        <v>788700</v>
      </c>
      <c r="BO19" s="73"/>
      <c r="BP19" s="73"/>
      <c r="BQ19" s="74">
        <f t="shared" si="8"/>
        <v>7747300</v>
      </c>
      <c r="BR19" s="73">
        <v>100000</v>
      </c>
      <c r="BS19" s="73">
        <v>20</v>
      </c>
      <c r="BT19" s="73">
        <f t="shared" si="10"/>
        <v>660000</v>
      </c>
      <c r="BU19" s="74">
        <f t="shared" si="9"/>
        <v>8507300</v>
      </c>
    </row>
    <row r="20" spans="1:73" s="51" customFormat="1" ht="34.5" customHeight="1" x14ac:dyDescent="0.25">
      <c r="A20" s="35">
        <v>10</v>
      </c>
      <c r="B20" s="66" t="s">
        <v>60</v>
      </c>
      <c r="C20" s="65" t="s">
        <v>24</v>
      </c>
      <c r="D20" s="238">
        <v>14200000</v>
      </c>
      <c r="E20" s="242"/>
      <c r="F20" s="240">
        <v>6500000</v>
      </c>
      <c r="G20" s="239">
        <v>7140000</v>
      </c>
      <c r="H20" s="239"/>
      <c r="I20" s="241" t="s">
        <v>21</v>
      </c>
      <c r="J20" s="242">
        <v>20</v>
      </c>
      <c r="K20" s="242">
        <v>1</v>
      </c>
      <c r="L20" s="242">
        <v>0</v>
      </c>
      <c r="M20" s="242">
        <v>0</v>
      </c>
      <c r="N20" s="242"/>
      <c r="O20" s="242">
        <v>0</v>
      </c>
      <c r="P20" s="254">
        <v>0</v>
      </c>
      <c r="Q20" s="244"/>
      <c r="R20" s="244"/>
      <c r="S20" s="251">
        <v>0</v>
      </c>
      <c r="T20" s="243">
        <v>0</v>
      </c>
      <c r="U20" s="243">
        <v>0</v>
      </c>
      <c r="V20" s="243">
        <v>0</v>
      </c>
      <c r="W20" s="243">
        <v>0</v>
      </c>
      <c r="X20" s="243">
        <v>0</v>
      </c>
      <c r="Y20" s="243">
        <v>0</v>
      </c>
      <c r="Z20" s="243">
        <v>0</v>
      </c>
      <c r="AA20" s="243">
        <v>0</v>
      </c>
      <c r="AB20" s="243">
        <v>83</v>
      </c>
      <c r="AC20" s="243">
        <v>0</v>
      </c>
      <c r="AD20" s="241">
        <f t="shared" si="12"/>
        <v>5262000</v>
      </c>
      <c r="AE20" s="246">
        <f t="shared" si="13"/>
        <v>2590000</v>
      </c>
      <c r="AF20" s="247">
        <f t="shared" si="14"/>
        <v>340000</v>
      </c>
      <c r="AG20" s="247"/>
      <c r="AH20" s="247">
        <f t="shared" si="5"/>
        <v>0</v>
      </c>
      <c r="AI20" s="247">
        <f t="shared" si="15"/>
        <v>0</v>
      </c>
      <c r="AJ20" s="247">
        <f t="shared" si="16"/>
        <v>0</v>
      </c>
      <c r="AK20" s="251">
        <f t="shared" si="18"/>
        <v>0</v>
      </c>
      <c r="AL20" s="249">
        <f t="shared" si="1"/>
        <v>3569000</v>
      </c>
      <c r="AM20" s="249">
        <f t="shared" si="2"/>
        <v>0</v>
      </c>
      <c r="AN20" s="249">
        <f t="shared" si="3"/>
        <v>0</v>
      </c>
      <c r="AO20" s="249">
        <f t="shared" si="4"/>
        <v>0</v>
      </c>
      <c r="AP20" s="250"/>
      <c r="AQ20" s="258"/>
      <c r="AR20" s="247">
        <f>E20*(J20+K20)/$A$5</f>
        <v>0</v>
      </c>
      <c r="AS20" s="241"/>
      <c r="AT20" s="241"/>
      <c r="AU20" s="241"/>
      <c r="AV20" s="261"/>
      <c r="AW20" s="253">
        <f t="shared" si="17"/>
        <v>11761000</v>
      </c>
      <c r="AX20" s="67">
        <f t="shared" si="11"/>
        <v>55000</v>
      </c>
      <c r="AY20" s="73">
        <v>571200</v>
      </c>
      <c r="AZ20" s="73">
        <v>107100</v>
      </c>
      <c r="BA20" s="73">
        <v>71400</v>
      </c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4">
        <f t="shared" si="7"/>
        <v>804700</v>
      </c>
      <c r="BO20" s="73"/>
      <c r="BP20" s="73"/>
      <c r="BQ20" s="74">
        <f t="shared" si="8"/>
        <v>10956300</v>
      </c>
      <c r="BR20" s="73">
        <v>100000</v>
      </c>
      <c r="BS20" s="73">
        <v>20</v>
      </c>
      <c r="BT20" s="73">
        <f t="shared" si="10"/>
        <v>660000</v>
      </c>
      <c r="BU20" s="74">
        <f t="shared" si="9"/>
        <v>11716300</v>
      </c>
    </row>
    <row r="21" spans="1:73" s="51" customFormat="1" ht="34.5" customHeight="1" x14ac:dyDescent="0.25">
      <c r="A21" s="35">
        <v>11</v>
      </c>
      <c r="B21" s="66" t="s">
        <v>62</v>
      </c>
      <c r="C21" s="65" t="s">
        <v>24</v>
      </c>
      <c r="D21" s="238">
        <v>14700000</v>
      </c>
      <c r="E21" s="242"/>
      <c r="F21" s="240">
        <v>6500000</v>
      </c>
      <c r="G21" s="239">
        <v>7510000</v>
      </c>
      <c r="H21" s="239"/>
      <c r="I21" s="241" t="s">
        <v>21</v>
      </c>
      <c r="J21" s="242">
        <v>20</v>
      </c>
      <c r="K21" s="242">
        <v>1</v>
      </c>
      <c r="L21" s="242">
        <v>0</v>
      </c>
      <c r="M21" s="242">
        <v>0</v>
      </c>
      <c r="N21" s="242"/>
      <c r="O21" s="242">
        <v>0</v>
      </c>
      <c r="P21" s="254">
        <v>0</v>
      </c>
      <c r="Q21" s="244"/>
      <c r="R21" s="244"/>
      <c r="S21" s="244">
        <v>0</v>
      </c>
      <c r="T21" s="243">
        <v>0</v>
      </c>
      <c r="U21" s="243">
        <v>0</v>
      </c>
      <c r="V21" s="243">
        <v>0</v>
      </c>
      <c r="W21" s="243">
        <v>0</v>
      </c>
      <c r="X21" s="243">
        <v>0</v>
      </c>
      <c r="Y21" s="243">
        <v>0</v>
      </c>
      <c r="Z21" s="243">
        <v>0</v>
      </c>
      <c r="AA21" s="243">
        <v>0</v>
      </c>
      <c r="AB21" s="243">
        <v>92</v>
      </c>
      <c r="AC21" s="243">
        <v>10</v>
      </c>
      <c r="AD21" s="241">
        <f t="shared" si="12"/>
        <v>5262000</v>
      </c>
      <c r="AE21" s="246">
        <f t="shared" si="13"/>
        <v>2995000</v>
      </c>
      <c r="AF21" s="247">
        <f t="shared" si="14"/>
        <v>358000</v>
      </c>
      <c r="AG21" s="247"/>
      <c r="AH21" s="247">
        <f t="shared" si="5"/>
        <v>0</v>
      </c>
      <c r="AI21" s="247">
        <f t="shared" si="15"/>
        <v>0</v>
      </c>
      <c r="AJ21" s="247">
        <f t="shared" si="16"/>
        <v>0</v>
      </c>
      <c r="AK21" s="251">
        <f t="shared" si="18"/>
        <v>0</v>
      </c>
      <c r="AL21" s="249">
        <f t="shared" si="1"/>
        <v>3956000</v>
      </c>
      <c r="AM21" s="249">
        <f t="shared" si="2"/>
        <v>540000</v>
      </c>
      <c r="AN21" s="249">
        <f t="shared" si="3"/>
        <v>0</v>
      </c>
      <c r="AO21" s="249">
        <f t="shared" si="4"/>
        <v>0</v>
      </c>
      <c r="AP21" s="250"/>
      <c r="AQ21" s="258"/>
      <c r="AR21" s="247">
        <f>E21*(J21+K21)/$A$5</f>
        <v>0</v>
      </c>
      <c r="AS21" s="241"/>
      <c r="AT21" s="241"/>
      <c r="AU21" s="241"/>
      <c r="AV21" s="261"/>
      <c r="AW21" s="253">
        <f t="shared" si="17"/>
        <v>13111000</v>
      </c>
      <c r="AX21" s="67">
        <f t="shared" si="11"/>
        <v>62000</v>
      </c>
      <c r="AY21" s="73">
        <v>600800</v>
      </c>
      <c r="AZ21" s="73">
        <v>112650</v>
      </c>
      <c r="BA21" s="73">
        <v>75100</v>
      </c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4">
        <f t="shared" si="7"/>
        <v>850550</v>
      </c>
      <c r="BO21" s="73"/>
      <c r="BP21" s="73"/>
      <c r="BQ21" s="74">
        <f t="shared" si="8"/>
        <v>12260450</v>
      </c>
      <c r="BR21" s="73">
        <v>100000</v>
      </c>
      <c r="BS21" s="73">
        <v>20</v>
      </c>
      <c r="BT21" s="73">
        <f t="shared" si="10"/>
        <v>660000</v>
      </c>
      <c r="BU21" s="74">
        <f t="shared" si="9"/>
        <v>13020450</v>
      </c>
    </row>
    <row r="22" spans="1:73" s="51" customFormat="1" ht="34.5" customHeight="1" x14ac:dyDescent="0.25">
      <c r="A22" s="35">
        <v>12</v>
      </c>
      <c r="B22" s="66" t="s">
        <v>107</v>
      </c>
      <c r="C22" s="64" t="s">
        <v>136</v>
      </c>
      <c r="D22" s="238">
        <v>13690000</v>
      </c>
      <c r="E22" s="242"/>
      <c r="F22" s="240">
        <v>6500000</v>
      </c>
      <c r="G22" s="239">
        <v>6800000</v>
      </c>
      <c r="H22" s="239"/>
      <c r="I22" s="241" t="s">
        <v>21</v>
      </c>
      <c r="J22" s="242">
        <v>20</v>
      </c>
      <c r="K22" s="242">
        <v>1</v>
      </c>
      <c r="L22" s="242">
        <v>0</v>
      </c>
      <c r="M22" s="242">
        <v>0</v>
      </c>
      <c r="N22" s="242"/>
      <c r="O22" s="242"/>
      <c r="P22" s="254">
        <v>40.75</v>
      </c>
      <c r="Q22" s="244"/>
      <c r="R22" s="244"/>
      <c r="S22" s="244">
        <v>0</v>
      </c>
      <c r="T22" s="243">
        <v>0</v>
      </c>
      <c r="U22" s="243">
        <v>0</v>
      </c>
      <c r="V22" s="243">
        <v>0</v>
      </c>
      <c r="W22" s="243">
        <v>0</v>
      </c>
      <c r="X22" s="243">
        <v>0</v>
      </c>
      <c r="Y22" s="243">
        <v>0</v>
      </c>
      <c r="Z22" s="243">
        <v>0</v>
      </c>
      <c r="AA22" s="243">
        <v>0</v>
      </c>
      <c r="AB22" s="243">
        <v>0</v>
      </c>
      <c r="AC22" s="243">
        <v>0</v>
      </c>
      <c r="AD22" s="241">
        <f t="shared" si="12"/>
        <v>5262000</v>
      </c>
      <c r="AE22" s="246">
        <f>ROUND(IF(I22="A",(D22-F22-4500000)*(J22)/$A$5*$B$5,IF(I22="B",(D22-F22-4500000)*0.5*(J22)/$A$5*$B$5,IF(I22="C",0))),-3)</f>
        <v>2178000</v>
      </c>
      <c r="AF22" s="247">
        <f>ROUND(G22*(K22)/$A$5,-3)</f>
        <v>324000</v>
      </c>
      <c r="AG22" s="247"/>
      <c r="AH22" s="247">
        <f t="shared" si="5"/>
        <v>0</v>
      </c>
      <c r="AI22" s="247">
        <f>ROUND(G22*(L22)/$A$5,-3)</f>
        <v>0</v>
      </c>
      <c r="AJ22" s="247">
        <f>ROUND(G22*N22/$A$5*85%,-3)</f>
        <v>0</v>
      </c>
      <c r="AK22" s="251">
        <f t="shared" si="18"/>
        <v>12877000</v>
      </c>
      <c r="AL22" s="249">
        <f t="shared" si="1"/>
        <v>0</v>
      </c>
      <c r="AM22" s="249">
        <f t="shared" si="2"/>
        <v>0</v>
      </c>
      <c r="AN22" s="249">
        <f t="shared" si="3"/>
        <v>0</v>
      </c>
      <c r="AO22" s="249">
        <f t="shared" si="4"/>
        <v>0</v>
      </c>
      <c r="AP22" s="250"/>
      <c r="AQ22" s="258"/>
      <c r="AR22" s="247"/>
      <c r="AS22" s="241"/>
      <c r="AT22" s="241"/>
      <c r="AU22" s="241"/>
      <c r="AV22" s="261"/>
      <c r="AW22" s="253">
        <f t="shared" si="17"/>
        <v>20641000</v>
      </c>
      <c r="AX22" s="67">
        <f t="shared" si="11"/>
        <v>100000</v>
      </c>
      <c r="AY22" s="73">
        <v>544000</v>
      </c>
      <c r="AZ22" s="73">
        <v>102000</v>
      </c>
      <c r="BA22" s="73">
        <v>68000</v>
      </c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4">
        <f t="shared" si="7"/>
        <v>814000</v>
      </c>
      <c r="BO22" s="73"/>
      <c r="BP22" s="73"/>
      <c r="BQ22" s="74">
        <f t="shared" si="8"/>
        <v>19827000</v>
      </c>
      <c r="BR22" s="73">
        <v>100000</v>
      </c>
      <c r="BS22" s="73">
        <v>20</v>
      </c>
      <c r="BT22" s="73">
        <f t="shared" si="10"/>
        <v>660000</v>
      </c>
      <c r="BU22" s="74">
        <f t="shared" si="9"/>
        <v>20587000</v>
      </c>
    </row>
    <row r="23" spans="1:73" s="50" customFormat="1" ht="34.5" customHeight="1" x14ac:dyDescent="0.25">
      <c r="A23" s="35">
        <v>13</v>
      </c>
      <c r="B23" s="63" t="s">
        <v>46</v>
      </c>
      <c r="C23" s="65" t="s">
        <v>24</v>
      </c>
      <c r="D23" s="238">
        <v>14700000</v>
      </c>
      <c r="E23" s="239"/>
      <c r="F23" s="240">
        <v>6500000</v>
      </c>
      <c r="G23" s="239">
        <v>7510000</v>
      </c>
      <c r="H23" s="239"/>
      <c r="I23" s="241" t="s">
        <v>21</v>
      </c>
      <c r="J23" s="242">
        <v>20</v>
      </c>
      <c r="K23" s="242">
        <v>1</v>
      </c>
      <c r="L23" s="242">
        <v>0</v>
      </c>
      <c r="M23" s="242">
        <v>0</v>
      </c>
      <c r="N23" s="242"/>
      <c r="O23" s="242">
        <v>0</v>
      </c>
      <c r="P23" s="254">
        <v>45.25</v>
      </c>
      <c r="Q23" s="244"/>
      <c r="R23" s="244"/>
      <c r="S23" s="244">
        <v>0</v>
      </c>
      <c r="T23" s="243">
        <v>0</v>
      </c>
      <c r="U23" s="243">
        <v>0</v>
      </c>
      <c r="V23" s="243">
        <v>0</v>
      </c>
      <c r="W23" s="243">
        <v>0</v>
      </c>
      <c r="X23" s="243">
        <v>0</v>
      </c>
      <c r="Y23" s="243">
        <v>0</v>
      </c>
      <c r="Z23" s="243">
        <v>0.76666666666665151</v>
      </c>
      <c r="AA23" s="243">
        <v>0</v>
      </c>
      <c r="AB23" s="243">
        <v>22.5</v>
      </c>
      <c r="AC23" s="243">
        <v>0</v>
      </c>
      <c r="AD23" s="241">
        <f>ROUND(F23*(J23)/$A$5*$B$5,-3)</f>
        <v>5262000</v>
      </c>
      <c r="AE23" s="246">
        <f>ROUND(IF(I23="A",(D23-F23-4500000)*(J23)/$A$5*$B$5,IF(I23="B",(D23-F23-4500000)*0.5*(J23)/$A$5*$B$5,IF(I23="C",0))),-3)</f>
        <v>2995000</v>
      </c>
      <c r="AF23" s="247">
        <f>ROUND(G23*(K23)/$A$5,-3)</f>
        <v>358000</v>
      </c>
      <c r="AG23" s="247"/>
      <c r="AH23" s="247"/>
      <c r="AI23" s="247">
        <f>ROUND(G23*(L23)/$A$5,-3)</f>
        <v>0</v>
      </c>
      <c r="AJ23" s="260"/>
      <c r="AK23" s="251">
        <f>ROUND(P23*316000,-3)</f>
        <v>14299000</v>
      </c>
      <c r="AL23" s="249">
        <f>ROUND((X23*43000+Z23*43000+AB23*43000),-3)</f>
        <v>1000000</v>
      </c>
      <c r="AM23" s="249">
        <f>ROUND((AC23*54000+AA23*54000+Y23*57000),-3)</f>
        <v>0</v>
      </c>
      <c r="AN23" s="249">
        <f>ROUND((T23*43000+V23*43000),-3)</f>
        <v>0</v>
      </c>
      <c r="AO23" s="249">
        <f>ROUND((U23*48600+W23*52000),-3)</f>
        <v>0</v>
      </c>
      <c r="AP23" s="250"/>
      <c r="AQ23" s="258"/>
      <c r="AR23" s="247"/>
      <c r="AS23" s="247"/>
      <c r="AT23" s="247"/>
      <c r="AU23" s="247"/>
      <c r="AV23" s="259"/>
      <c r="AW23" s="253">
        <f>ROUND(SUM(AD23:AU23)-AV23,-3)</f>
        <v>23914000</v>
      </c>
      <c r="AX23" s="67">
        <f>ROUND(IF((AW23-AY23-AZ23-BA23-BM23)*0.5%&lt;234000,(AW23-AY23-AZ23-BA23-BM23)*0.5%,234000),-3)</f>
        <v>116000</v>
      </c>
      <c r="AY23" s="73">
        <v>600800</v>
      </c>
      <c r="AZ23" s="73">
        <v>112650</v>
      </c>
      <c r="BA23" s="73">
        <v>75100</v>
      </c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4">
        <f t="shared" si="7"/>
        <v>904550</v>
      </c>
      <c r="BO23" s="73"/>
      <c r="BP23" s="73"/>
      <c r="BQ23" s="74">
        <f t="shared" si="8"/>
        <v>23009450</v>
      </c>
      <c r="BR23" s="73">
        <v>100000</v>
      </c>
      <c r="BS23" s="73">
        <v>20</v>
      </c>
      <c r="BT23" s="73">
        <f t="shared" si="10"/>
        <v>660000</v>
      </c>
      <c r="BU23" s="74">
        <f t="shared" si="9"/>
        <v>23769450</v>
      </c>
    </row>
    <row r="24" spans="1:73" s="50" customFormat="1" ht="34.5" customHeight="1" x14ac:dyDescent="0.25">
      <c r="A24" s="35">
        <v>14</v>
      </c>
      <c r="B24" s="63" t="s">
        <v>28</v>
      </c>
      <c r="C24" s="65" t="s">
        <v>57</v>
      </c>
      <c r="D24" s="242">
        <v>9160000</v>
      </c>
      <c r="E24" s="242"/>
      <c r="F24" s="240">
        <v>6500000</v>
      </c>
      <c r="G24" s="239">
        <v>6450000</v>
      </c>
      <c r="H24" s="239"/>
      <c r="I24" s="241" t="s">
        <v>21</v>
      </c>
      <c r="J24" s="242">
        <v>20</v>
      </c>
      <c r="K24" s="242">
        <v>1</v>
      </c>
      <c r="L24" s="242">
        <v>0</v>
      </c>
      <c r="M24" s="242">
        <v>0</v>
      </c>
      <c r="N24" s="242"/>
      <c r="O24" s="242">
        <v>0</v>
      </c>
      <c r="P24" s="254">
        <v>71.75</v>
      </c>
      <c r="Q24" s="244"/>
      <c r="R24" s="244"/>
      <c r="S24" s="244">
        <v>0</v>
      </c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1">
        <f>ROUND(F24*(J24)/$A$5,-3)</f>
        <v>6190000</v>
      </c>
      <c r="AE24" s="246">
        <f>ROUND(IF(I24="A",(D24-F24)*(J24)/$A$5,IF(I24="B",(D24-F24)*0.5*(J24)/$A$5*$B$5,IF(I24="C",0))),-3)</f>
        <v>2533000</v>
      </c>
      <c r="AF24" s="247">
        <f t="shared" si="14"/>
        <v>307000</v>
      </c>
      <c r="AG24" s="247"/>
      <c r="AH24" s="247">
        <f t="shared" si="5"/>
        <v>0</v>
      </c>
      <c r="AI24" s="247">
        <f>ROUND(G24*(L24)/$A$5,-3)</f>
        <v>0</v>
      </c>
      <c r="AJ24" s="247">
        <f t="shared" si="16"/>
        <v>0</v>
      </c>
      <c r="AK24" s="251">
        <f t="shared" si="18"/>
        <v>22673000</v>
      </c>
      <c r="AL24" s="249">
        <f>ROUND((X24*39000+Z24*39000+AB24*39000),-3)</f>
        <v>0</v>
      </c>
      <c r="AM24" s="249">
        <f>ROUND((AC24*52000+AA24*48600+Y24*52000),-3)</f>
        <v>0</v>
      </c>
      <c r="AN24" s="249">
        <f>ROUND((T24*39000+V24*39000),-3)</f>
        <v>0</v>
      </c>
      <c r="AO24" s="249">
        <f t="shared" si="4"/>
        <v>0</v>
      </c>
      <c r="AP24" s="250"/>
      <c r="AQ24" s="258"/>
      <c r="AR24" s="247">
        <f>E24*(J24+K24)/$A$5</f>
        <v>0</v>
      </c>
      <c r="AS24" s="247"/>
      <c r="AT24" s="247"/>
      <c r="AU24" s="247"/>
      <c r="AV24" s="261"/>
      <c r="AW24" s="253">
        <f t="shared" si="17"/>
        <v>31703000</v>
      </c>
      <c r="AX24" s="67">
        <f t="shared" si="11"/>
        <v>155000</v>
      </c>
      <c r="AY24" s="73">
        <v>516000</v>
      </c>
      <c r="AZ24" s="73">
        <v>96750</v>
      </c>
      <c r="BA24" s="73">
        <v>64500</v>
      </c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4">
        <f t="shared" si="7"/>
        <v>832250</v>
      </c>
      <c r="BO24" s="73"/>
      <c r="BP24" s="73"/>
      <c r="BQ24" s="74">
        <f t="shared" si="8"/>
        <v>30870750</v>
      </c>
      <c r="BR24" s="73">
        <v>100000</v>
      </c>
      <c r="BS24" s="73">
        <v>20</v>
      </c>
      <c r="BT24" s="73">
        <f t="shared" si="10"/>
        <v>660000</v>
      </c>
      <c r="BU24" s="74">
        <f t="shared" si="9"/>
        <v>31630750</v>
      </c>
    </row>
    <row r="25" spans="1:73" s="50" customFormat="1" ht="34.5" customHeight="1" x14ac:dyDescent="0.25">
      <c r="A25" s="35">
        <v>15</v>
      </c>
      <c r="B25" s="66" t="s">
        <v>48</v>
      </c>
      <c r="C25" s="65" t="s">
        <v>57</v>
      </c>
      <c r="D25" s="242">
        <v>8740000</v>
      </c>
      <c r="E25" s="242"/>
      <c r="F25" s="240">
        <v>6500000</v>
      </c>
      <c r="G25" s="239">
        <v>6140000</v>
      </c>
      <c r="H25" s="239"/>
      <c r="I25" s="241" t="s">
        <v>21</v>
      </c>
      <c r="J25" s="242">
        <v>20</v>
      </c>
      <c r="K25" s="242">
        <v>1</v>
      </c>
      <c r="L25" s="242">
        <v>0</v>
      </c>
      <c r="M25" s="242">
        <v>0</v>
      </c>
      <c r="N25" s="242"/>
      <c r="O25" s="242"/>
      <c r="P25" s="254">
        <v>70</v>
      </c>
      <c r="Q25" s="244"/>
      <c r="R25" s="244"/>
      <c r="S25" s="244">
        <v>0</v>
      </c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1">
        <f>ROUND(F25*(J25)/$A$5,-3)</f>
        <v>6190000</v>
      </c>
      <c r="AE25" s="246">
        <f>ROUND(IF(I25="A",(D25-F25)*(J25)/$A$5,IF(I25="B",(D25-F25)*0.5*(J25)/$A$5*$B$5,IF(I25="C",0))),-3)</f>
        <v>2133000</v>
      </c>
      <c r="AF25" s="247">
        <f t="shared" si="14"/>
        <v>292000</v>
      </c>
      <c r="AG25" s="247"/>
      <c r="AH25" s="247">
        <f t="shared" si="5"/>
        <v>0</v>
      </c>
      <c r="AI25" s="247">
        <f>ROUND(G25*(L25)/$A$5,-3)</f>
        <v>0</v>
      </c>
      <c r="AJ25" s="247">
        <f t="shared" si="16"/>
        <v>0</v>
      </c>
      <c r="AK25" s="251">
        <f t="shared" si="18"/>
        <v>22120000</v>
      </c>
      <c r="AL25" s="249">
        <f>ROUND((X25*39000+Z25*39000+AB25*39000),-3)</f>
        <v>0</v>
      </c>
      <c r="AM25" s="249">
        <f>ROUND((AC25*52000+AA25*48600+Y25*52000),-3)</f>
        <v>0</v>
      </c>
      <c r="AN25" s="249">
        <f>ROUND((T25*39000+V25*39000),-3)</f>
        <v>0</v>
      </c>
      <c r="AO25" s="249">
        <f t="shared" si="4"/>
        <v>0</v>
      </c>
      <c r="AP25" s="250"/>
      <c r="AQ25" s="255"/>
      <c r="AR25" s="247">
        <f>E25*(J25+K25)/$A$5</f>
        <v>0</v>
      </c>
      <c r="AS25" s="247"/>
      <c r="AT25" s="247"/>
      <c r="AU25" s="247"/>
      <c r="AV25" s="261"/>
      <c r="AW25" s="253">
        <f t="shared" si="17"/>
        <v>30735000</v>
      </c>
      <c r="AX25" s="67">
        <f t="shared" si="11"/>
        <v>150000</v>
      </c>
      <c r="AY25" s="73">
        <v>491200</v>
      </c>
      <c r="AZ25" s="73">
        <v>92100</v>
      </c>
      <c r="BA25" s="73">
        <v>61400</v>
      </c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4">
        <f t="shared" si="7"/>
        <v>794700</v>
      </c>
      <c r="BO25" s="73"/>
      <c r="BP25" s="73"/>
      <c r="BQ25" s="74">
        <f t="shared" si="8"/>
        <v>29940300</v>
      </c>
      <c r="BR25" s="73">
        <v>100000</v>
      </c>
      <c r="BS25" s="73">
        <v>20</v>
      </c>
      <c r="BT25" s="73">
        <f t="shared" si="10"/>
        <v>660000</v>
      </c>
      <c r="BU25" s="74">
        <f t="shared" si="9"/>
        <v>30700300</v>
      </c>
    </row>
    <row r="26" spans="1:73" s="50" customFormat="1" ht="34.5" customHeight="1" x14ac:dyDescent="0.25">
      <c r="A26" s="263">
        <v>16</v>
      </c>
      <c r="B26" s="372" t="s">
        <v>55</v>
      </c>
      <c r="C26" s="265" t="s">
        <v>57</v>
      </c>
      <c r="D26" s="266">
        <v>8740000</v>
      </c>
      <c r="E26" s="266"/>
      <c r="F26" s="267">
        <v>6500000</v>
      </c>
      <c r="G26" s="268">
        <v>6140000</v>
      </c>
      <c r="H26" s="268"/>
      <c r="I26" s="269" t="s">
        <v>21</v>
      </c>
      <c r="J26" s="266">
        <v>20</v>
      </c>
      <c r="K26" s="266">
        <v>1</v>
      </c>
      <c r="L26" s="266">
        <v>0</v>
      </c>
      <c r="M26" s="266">
        <v>0</v>
      </c>
      <c r="N26" s="266"/>
      <c r="O26" s="266">
        <v>0</v>
      </c>
      <c r="P26" s="270">
        <v>62.75</v>
      </c>
      <c r="Q26" s="271"/>
      <c r="R26" s="271"/>
      <c r="S26" s="271">
        <v>0</v>
      </c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69">
        <f>ROUND(F26*(J26)/$A$5,-3)</f>
        <v>6190000</v>
      </c>
      <c r="AE26" s="273">
        <f>ROUND(IF(I26="A",(D26-F26)*(J26)/$A$5,IF(I26="B",(D26-F26)*0.5*(J26)/$A$5*$B$5,IF(I26="C",0))),-3)</f>
        <v>2133000</v>
      </c>
      <c r="AF26" s="274">
        <f t="shared" si="14"/>
        <v>292000</v>
      </c>
      <c r="AG26" s="274"/>
      <c r="AH26" s="274">
        <f t="shared" si="5"/>
        <v>0</v>
      </c>
      <c r="AI26" s="274">
        <f>ROUND(G26*(L26)/$A$5,-3)</f>
        <v>0</v>
      </c>
      <c r="AJ26" s="274">
        <f t="shared" si="16"/>
        <v>0</v>
      </c>
      <c r="AK26" s="373">
        <f t="shared" si="18"/>
        <v>19829000</v>
      </c>
      <c r="AL26" s="276">
        <f>ROUND((X26*39000+Z26*39000+AB26*39000),-3)</f>
        <v>0</v>
      </c>
      <c r="AM26" s="276">
        <f>ROUND((AC26*52000+AA26*48600+Y26*52000),-3)</f>
        <v>0</v>
      </c>
      <c r="AN26" s="276">
        <f>ROUND((T26*39000+V26*39000),-3)</f>
        <v>0</v>
      </c>
      <c r="AO26" s="276">
        <f t="shared" si="4"/>
        <v>0</v>
      </c>
      <c r="AP26" s="277"/>
      <c r="AQ26" s="278"/>
      <c r="AR26" s="274">
        <f>E26*(J26+K26)/$A$5</f>
        <v>0</v>
      </c>
      <c r="AS26" s="269"/>
      <c r="AT26" s="269"/>
      <c r="AU26" s="269"/>
      <c r="AV26" s="279"/>
      <c r="AW26" s="280">
        <f t="shared" si="17"/>
        <v>28444000</v>
      </c>
      <c r="AX26" s="303">
        <f t="shared" si="11"/>
        <v>139000</v>
      </c>
      <c r="AY26" s="305">
        <v>491200</v>
      </c>
      <c r="AZ26" s="305">
        <v>92100</v>
      </c>
      <c r="BA26" s="305">
        <v>61400</v>
      </c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5"/>
      <c r="BN26" s="306">
        <f t="shared" si="7"/>
        <v>783700</v>
      </c>
      <c r="BO26" s="305"/>
      <c r="BP26" s="305"/>
      <c r="BQ26" s="306">
        <f t="shared" si="8"/>
        <v>27660300</v>
      </c>
      <c r="BR26" s="305">
        <v>100000</v>
      </c>
      <c r="BS26" s="305">
        <v>20</v>
      </c>
      <c r="BT26" s="305">
        <f t="shared" si="10"/>
        <v>660000</v>
      </c>
      <c r="BU26" s="306">
        <f t="shared" si="9"/>
        <v>28420300</v>
      </c>
    </row>
    <row r="27" spans="1:73" s="363" customFormat="1" ht="34.5" customHeight="1" x14ac:dyDescent="0.25">
      <c r="A27" s="361"/>
      <c r="B27" s="361" t="s">
        <v>29</v>
      </c>
      <c r="C27" s="361"/>
      <c r="D27" s="164">
        <f t="shared" ref="D27:AV27" si="19">SUM(D11:D26)</f>
        <v>215260000</v>
      </c>
      <c r="E27" s="164">
        <f t="shared" si="19"/>
        <v>1470000</v>
      </c>
      <c r="F27" s="164">
        <f t="shared" si="19"/>
        <v>104000000</v>
      </c>
      <c r="G27" s="164">
        <f t="shared" si="19"/>
        <v>115510000</v>
      </c>
      <c r="H27" s="164">
        <f t="shared" si="19"/>
        <v>1470000</v>
      </c>
      <c r="I27" s="164">
        <f t="shared" si="19"/>
        <v>0</v>
      </c>
      <c r="J27" s="164">
        <f t="shared" si="19"/>
        <v>310</v>
      </c>
      <c r="K27" s="164">
        <f t="shared" si="19"/>
        <v>16</v>
      </c>
      <c r="L27" s="164">
        <f t="shared" si="19"/>
        <v>0</v>
      </c>
      <c r="M27" s="164">
        <f t="shared" si="19"/>
        <v>0</v>
      </c>
      <c r="N27" s="164">
        <f t="shared" si="19"/>
        <v>0</v>
      </c>
      <c r="O27" s="164">
        <f t="shared" si="19"/>
        <v>0</v>
      </c>
      <c r="P27" s="369">
        <f t="shared" si="19"/>
        <v>356.75</v>
      </c>
      <c r="Q27" s="164">
        <f t="shared" si="19"/>
        <v>0</v>
      </c>
      <c r="R27" s="164">
        <f t="shared" si="19"/>
        <v>0</v>
      </c>
      <c r="S27" s="362">
        <f t="shared" si="19"/>
        <v>10</v>
      </c>
      <c r="T27" s="164">
        <f t="shared" si="19"/>
        <v>50</v>
      </c>
      <c r="U27" s="164">
        <f t="shared" si="19"/>
        <v>0</v>
      </c>
      <c r="V27" s="164">
        <f t="shared" si="19"/>
        <v>0</v>
      </c>
      <c r="W27" s="164">
        <f t="shared" si="19"/>
        <v>0</v>
      </c>
      <c r="X27" s="362">
        <f t="shared" si="19"/>
        <v>2.6499999999999986</v>
      </c>
      <c r="Y27" s="164">
        <f t="shared" si="19"/>
        <v>0</v>
      </c>
      <c r="Z27" s="362">
        <f t="shared" si="19"/>
        <v>48.416666666666657</v>
      </c>
      <c r="AA27" s="164">
        <f t="shared" si="19"/>
        <v>0</v>
      </c>
      <c r="AB27" s="362">
        <f>SUM(AB11:AB26)</f>
        <v>412.4666666666667</v>
      </c>
      <c r="AC27" s="164">
        <f t="shared" si="19"/>
        <v>20</v>
      </c>
      <c r="AD27" s="164">
        <f t="shared" si="19"/>
        <v>85583000</v>
      </c>
      <c r="AE27" s="164">
        <f t="shared" si="19"/>
        <v>47823000</v>
      </c>
      <c r="AF27" s="164">
        <f t="shared" si="19"/>
        <v>5029000</v>
      </c>
      <c r="AG27" s="164">
        <f t="shared" si="19"/>
        <v>0</v>
      </c>
      <c r="AH27" s="164">
        <f t="shared" si="19"/>
        <v>0</v>
      </c>
      <c r="AI27" s="164">
        <f t="shared" si="19"/>
        <v>0</v>
      </c>
      <c r="AJ27" s="164">
        <f t="shared" si="19"/>
        <v>0</v>
      </c>
      <c r="AK27" s="164">
        <f t="shared" si="19"/>
        <v>112733000</v>
      </c>
      <c r="AL27" s="164">
        <f>SUM(AL11:AL26)</f>
        <v>19931000</v>
      </c>
      <c r="AM27" s="164">
        <f t="shared" si="19"/>
        <v>1080000</v>
      </c>
      <c r="AN27" s="164">
        <f t="shared" si="19"/>
        <v>2150000</v>
      </c>
      <c r="AO27" s="164">
        <f t="shared" si="19"/>
        <v>0</v>
      </c>
      <c r="AP27" s="164">
        <f t="shared" si="19"/>
        <v>0</v>
      </c>
      <c r="AQ27" s="164">
        <f t="shared" si="19"/>
        <v>1470000</v>
      </c>
      <c r="AR27" s="164">
        <f t="shared" si="19"/>
        <v>0</v>
      </c>
      <c r="AS27" s="164">
        <f t="shared" si="19"/>
        <v>0</v>
      </c>
      <c r="AT27" s="164">
        <f t="shared" si="19"/>
        <v>0</v>
      </c>
      <c r="AU27" s="164">
        <f t="shared" si="19"/>
        <v>0</v>
      </c>
      <c r="AV27" s="164">
        <f t="shared" si="19"/>
        <v>0</v>
      </c>
      <c r="AW27" s="164">
        <f>SUM(AW11:AW26)</f>
        <v>275799000</v>
      </c>
      <c r="AX27" s="164">
        <f t="shared" ref="AX27:BU27" si="20">SUM(AX11:AX26)</f>
        <v>1315000</v>
      </c>
      <c r="AY27" s="164">
        <f t="shared" si="20"/>
        <v>9358400</v>
      </c>
      <c r="AZ27" s="164">
        <f t="shared" si="20"/>
        <v>1754700</v>
      </c>
      <c r="BA27" s="164">
        <f t="shared" si="20"/>
        <v>1169800</v>
      </c>
      <c r="BB27" s="164">
        <f t="shared" si="20"/>
        <v>0</v>
      </c>
      <c r="BC27" s="164">
        <f t="shared" si="20"/>
        <v>0</v>
      </c>
      <c r="BD27" s="164">
        <f t="shared" si="20"/>
        <v>0</v>
      </c>
      <c r="BE27" s="164">
        <f t="shared" si="20"/>
        <v>0</v>
      </c>
      <c r="BF27" s="164">
        <f t="shared" si="20"/>
        <v>0</v>
      </c>
      <c r="BG27" s="164">
        <f t="shared" si="20"/>
        <v>0</v>
      </c>
      <c r="BH27" s="164">
        <f t="shared" si="20"/>
        <v>0</v>
      </c>
      <c r="BI27" s="164">
        <f t="shared" si="20"/>
        <v>0</v>
      </c>
      <c r="BJ27" s="164">
        <f t="shared" si="20"/>
        <v>2022000</v>
      </c>
      <c r="BK27" s="164">
        <f t="shared" si="20"/>
        <v>0</v>
      </c>
      <c r="BL27" s="164">
        <f t="shared" si="20"/>
        <v>0</v>
      </c>
      <c r="BM27" s="164">
        <f t="shared" si="20"/>
        <v>500000</v>
      </c>
      <c r="BN27" s="164">
        <f t="shared" si="20"/>
        <v>16119900</v>
      </c>
      <c r="BO27" s="164">
        <f t="shared" si="20"/>
        <v>0</v>
      </c>
      <c r="BP27" s="164">
        <f t="shared" si="20"/>
        <v>160000</v>
      </c>
      <c r="BQ27" s="164">
        <f t="shared" si="20"/>
        <v>259839100</v>
      </c>
      <c r="BR27" s="164">
        <f t="shared" si="20"/>
        <v>1500000</v>
      </c>
      <c r="BS27" s="164">
        <f t="shared" si="20"/>
        <v>310</v>
      </c>
      <c r="BT27" s="164">
        <f t="shared" si="20"/>
        <v>10230000</v>
      </c>
      <c r="BU27" s="164">
        <f t="shared" si="20"/>
        <v>271569100</v>
      </c>
    </row>
    <row r="28" spans="1:73" ht="2.1" customHeight="1" x14ac:dyDescent="0.25">
      <c r="A28" s="13"/>
      <c r="B28" s="13"/>
      <c r="C28" s="13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47"/>
      <c r="BJ28" s="17"/>
      <c r="BK28" s="17"/>
      <c r="BL28" s="17"/>
      <c r="BM28" s="17"/>
      <c r="BN28" s="147">
        <f>BN27-'[1]T4.26 '!$AU$40</f>
        <v>-6928800</v>
      </c>
      <c r="BO28" s="17"/>
      <c r="BP28" s="17"/>
      <c r="BQ28" s="147"/>
      <c r="BR28" s="17"/>
      <c r="BS28" s="17"/>
      <c r="BT28" s="17"/>
      <c r="BU28" s="17"/>
    </row>
    <row r="29" spans="1:73" ht="18" hidden="1" customHeight="1" x14ac:dyDescent="0.25">
      <c r="A29" s="282"/>
      <c r="B29" s="12"/>
      <c r="C29" s="12"/>
      <c r="D29" s="5"/>
      <c r="E29" s="5"/>
      <c r="F29" s="5"/>
      <c r="G29" s="5"/>
      <c r="H29" s="5"/>
      <c r="I29" s="9"/>
      <c r="J29" s="283"/>
      <c r="K29" s="1"/>
      <c r="L29" s="1"/>
      <c r="M29" s="1"/>
      <c r="N29" s="1"/>
      <c r="O29" s="1"/>
      <c r="P29" s="388" t="s">
        <v>137</v>
      </c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5"/>
      <c r="AE29" s="5"/>
      <c r="AF29" s="284"/>
      <c r="AG29" s="284"/>
      <c r="AH29" s="284"/>
      <c r="AI29" s="284"/>
      <c r="AJ29" s="284"/>
      <c r="AK29" s="5"/>
      <c r="AL29" s="5"/>
      <c r="AM29" s="5"/>
      <c r="AN29" s="5"/>
      <c r="AO29" s="285"/>
      <c r="AP29" s="285"/>
      <c r="AQ29" s="285"/>
      <c r="AR29" s="285"/>
      <c r="AW29" s="389" t="s">
        <v>164</v>
      </c>
      <c r="AX29" s="389"/>
      <c r="AY29" s="389"/>
      <c r="AZ29" s="389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4">
        <f>BQ27+BN27-BO27</f>
        <v>275959000</v>
      </c>
      <c r="BR29" s="153"/>
      <c r="BS29" s="153"/>
      <c r="BT29" s="153"/>
      <c r="BU29" s="154">
        <f>BU27-BT27-BQ27</f>
        <v>1500000</v>
      </c>
    </row>
    <row r="30" spans="1:73" ht="19.350000000000001" hidden="1" customHeight="1" x14ac:dyDescent="0.25">
      <c r="A30" s="384" t="s">
        <v>139</v>
      </c>
      <c r="B30" s="384"/>
      <c r="C30" s="384"/>
      <c r="D30" s="384"/>
      <c r="E30" s="384"/>
      <c r="F30" s="384"/>
      <c r="G30" s="384" t="s">
        <v>140</v>
      </c>
      <c r="H30" s="384"/>
      <c r="I30" s="384"/>
      <c r="J30" s="5"/>
      <c r="K30" s="5"/>
      <c r="L30" s="5"/>
      <c r="M30" s="5"/>
      <c r="N30" s="5"/>
      <c r="O30" s="5"/>
      <c r="P30" s="1"/>
      <c r="Q30" s="12"/>
      <c r="R30" s="12"/>
      <c r="S30" s="12" t="s">
        <v>141</v>
      </c>
      <c r="T30" s="12"/>
      <c r="U30" s="12"/>
      <c r="V30" s="12"/>
      <c r="W30" s="12"/>
      <c r="X30" s="12"/>
      <c r="Y30" s="12"/>
      <c r="Z30" s="12"/>
      <c r="AA30" s="12"/>
      <c r="AB30" s="5"/>
      <c r="AC30" s="5"/>
      <c r="AD30" s="385" t="s">
        <v>142</v>
      </c>
      <c r="AE30" s="385"/>
      <c r="AF30" s="385"/>
      <c r="AG30" s="385"/>
      <c r="AH30" s="385"/>
      <c r="AI30" s="385"/>
      <c r="AJ30" s="385"/>
      <c r="AK30" s="5"/>
      <c r="AL30" s="384" t="s">
        <v>143</v>
      </c>
      <c r="AM30" s="384"/>
      <c r="AN30" s="384"/>
      <c r="AO30" s="384"/>
      <c r="AP30" s="384"/>
      <c r="AQ30" s="384"/>
      <c r="AR30" s="12"/>
      <c r="AS30" s="12"/>
      <c r="AT30" s="12"/>
      <c r="AU30" s="12"/>
      <c r="AV30" s="12"/>
    </row>
    <row r="31" spans="1:73" ht="16.350000000000001" hidden="1" customHeight="1" x14ac:dyDescent="0.25">
      <c r="A31" s="1"/>
      <c r="B31" s="5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2"/>
      <c r="R31" s="12"/>
      <c r="S31" s="12" t="s">
        <v>144</v>
      </c>
      <c r="T31" s="12"/>
      <c r="U31" s="12"/>
      <c r="V31" s="12"/>
      <c r="W31" s="12"/>
      <c r="X31" s="12"/>
      <c r="Y31" s="12"/>
      <c r="Z31" s="12"/>
      <c r="AA31" s="12"/>
      <c r="AB31" s="1"/>
      <c r="AC31" s="1"/>
      <c r="AD31" s="5"/>
      <c r="AE31" s="5"/>
      <c r="AF31" s="284"/>
      <c r="AG31" s="284"/>
      <c r="AH31" s="284"/>
      <c r="AI31" s="284"/>
      <c r="AJ31" s="284"/>
      <c r="AK31" s="5"/>
      <c r="AL31" s="5"/>
      <c r="AM31" s="5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73" ht="7.35" hidden="1" customHeight="1" x14ac:dyDescent="0.25">
      <c r="A32" s="1"/>
      <c r="B32" s="5"/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5"/>
      <c r="R32" s="5"/>
      <c r="S32" s="5"/>
      <c r="T32" s="5"/>
      <c r="U32" s="5"/>
      <c r="V32" s="5"/>
      <c r="W32" s="5"/>
      <c r="X32" s="5"/>
      <c r="Y32" s="1"/>
      <c r="Z32" s="5"/>
      <c r="AA32" s="5"/>
      <c r="AB32" s="1"/>
      <c r="AC32" s="1"/>
      <c r="AD32" s="5"/>
      <c r="AE32" s="5"/>
      <c r="AF32" s="284"/>
      <c r="AG32" s="284"/>
      <c r="AH32" s="284"/>
      <c r="AI32" s="284"/>
      <c r="AJ32" s="284"/>
      <c r="AK32" s="5"/>
      <c r="AL32" s="5"/>
      <c r="AM32" s="5"/>
      <c r="AN32" s="5"/>
      <c r="AO32" s="5"/>
      <c r="AP32" s="5"/>
      <c r="AQ32" s="11"/>
      <c r="AR32" s="5"/>
      <c r="AS32" s="5"/>
      <c r="AT32" s="5"/>
      <c r="AU32" s="5"/>
      <c r="AV32" s="5"/>
    </row>
    <row r="33" spans="1:49" ht="11.45" hidden="1" customHeight="1" x14ac:dyDescent="0.25">
      <c r="A33" s="1"/>
      <c r="B33" s="5"/>
      <c r="C33" s="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5"/>
      <c r="R33" s="5"/>
      <c r="S33" s="5"/>
      <c r="T33" s="5"/>
      <c r="U33" s="5"/>
      <c r="V33" s="5"/>
      <c r="W33" s="5"/>
      <c r="X33" s="5"/>
      <c r="Y33" s="1"/>
      <c r="Z33" s="5"/>
      <c r="AA33" s="5"/>
      <c r="AB33" s="1"/>
      <c r="AC33" s="1"/>
      <c r="AD33" s="5"/>
      <c r="AE33" s="5"/>
      <c r="AF33" s="284"/>
      <c r="AG33" s="284"/>
      <c r="AH33" s="284"/>
      <c r="AI33" s="284"/>
      <c r="AJ33" s="284"/>
      <c r="AK33" s="5"/>
      <c r="AL33" s="5"/>
      <c r="AM33" s="5"/>
      <c r="AN33" s="5"/>
      <c r="AO33" s="5"/>
      <c r="AP33" s="5"/>
      <c r="AQ33" s="11"/>
      <c r="AR33" s="5"/>
      <c r="AS33" s="5"/>
      <c r="AT33" s="5"/>
      <c r="AU33" s="5"/>
      <c r="AV33" s="5"/>
    </row>
    <row r="34" spans="1:49" ht="6" hidden="1" customHeight="1" x14ac:dyDescent="0.25">
      <c r="A34" s="1"/>
      <c r="B34" s="5"/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5"/>
      <c r="R34" s="5"/>
      <c r="S34" s="5"/>
      <c r="T34" s="5"/>
      <c r="U34" s="5"/>
      <c r="V34" s="5"/>
      <c r="W34" s="5"/>
      <c r="X34" s="5"/>
      <c r="Y34" s="1"/>
      <c r="Z34" s="5"/>
      <c r="AA34" s="5"/>
      <c r="AB34" s="1"/>
      <c r="AC34" s="1"/>
      <c r="AD34" s="5"/>
      <c r="AE34" s="5"/>
      <c r="AF34" s="284"/>
      <c r="AG34" s="284"/>
      <c r="AH34" s="284"/>
      <c r="AI34" s="284"/>
      <c r="AJ34" s="284"/>
      <c r="AK34" s="5"/>
      <c r="AL34" s="5"/>
      <c r="AM34" s="5"/>
      <c r="AN34" s="5"/>
      <c r="AO34" s="5"/>
      <c r="AP34" s="5"/>
      <c r="AQ34" s="11"/>
      <c r="AR34" s="5"/>
      <c r="AS34" s="5"/>
      <c r="AT34" s="5"/>
      <c r="AU34" s="5"/>
      <c r="AV34" s="5"/>
    </row>
    <row r="35" spans="1:49" ht="19.350000000000001" hidden="1" customHeight="1" x14ac:dyDescent="0.25">
      <c r="A35" s="1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5"/>
      <c r="R35" s="5"/>
      <c r="S35" s="5"/>
      <c r="T35" s="5"/>
      <c r="U35" s="5"/>
      <c r="V35" s="5"/>
      <c r="W35" s="5"/>
      <c r="X35" s="5"/>
      <c r="Y35" s="1"/>
      <c r="Z35" s="5"/>
      <c r="AA35" s="5"/>
      <c r="AB35" s="1"/>
      <c r="AC35" s="1"/>
      <c r="AD35" s="9"/>
      <c r="AE35" s="5"/>
      <c r="AF35" s="284"/>
      <c r="AG35" s="284"/>
      <c r="AH35" s="284"/>
      <c r="AI35" s="284"/>
      <c r="AJ35" s="284"/>
      <c r="AK35" s="5"/>
      <c r="AL35" s="5"/>
      <c r="AM35" s="5"/>
      <c r="AN35" s="5"/>
      <c r="AO35" s="5"/>
      <c r="AP35" s="5"/>
      <c r="AQ35" s="11"/>
      <c r="AR35" s="5"/>
      <c r="AS35" s="5"/>
      <c r="AT35" s="5"/>
      <c r="AU35" s="5"/>
      <c r="AV35" s="5"/>
    </row>
    <row r="36" spans="1:49" ht="15.75" hidden="1" customHeight="1" x14ac:dyDescent="0.25">
      <c r="A36" s="1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5"/>
      <c r="R36" s="5"/>
      <c r="S36" s="5"/>
      <c r="T36" s="5"/>
      <c r="U36" s="5"/>
      <c r="V36" s="5"/>
      <c r="W36" s="5"/>
      <c r="X36" s="5"/>
      <c r="Y36" s="1"/>
      <c r="Z36" s="5"/>
      <c r="AA36" s="5"/>
      <c r="AB36" s="1"/>
      <c r="AC36" s="1"/>
      <c r="AD36" s="5"/>
      <c r="AE36" s="5"/>
      <c r="AF36" s="284"/>
      <c r="AG36" s="284"/>
      <c r="AH36" s="284"/>
      <c r="AI36" s="284"/>
      <c r="AJ36" s="284"/>
      <c r="AK36" s="5"/>
      <c r="AL36" s="5"/>
      <c r="AM36" s="5"/>
      <c r="AN36" s="5"/>
      <c r="AO36" s="5"/>
      <c r="AP36" s="5"/>
      <c r="AQ36" s="11"/>
      <c r="AR36" s="5"/>
      <c r="AS36" s="5"/>
      <c r="AT36" s="5"/>
      <c r="AU36" s="5"/>
      <c r="AV36" s="5"/>
    </row>
    <row r="37" spans="1:49" ht="8.1" hidden="1" customHeight="1" x14ac:dyDescent="0.25">
      <c r="A37" s="12"/>
      <c r="B37" s="5"/>
      <c r="C37" s="5"/>
      <c r="D37" s="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3"/>
      <c r="R37" s="13"/>
      <c r="S37" s="13"/>
      <c r="T37" s="5"/>
      <c r="U37" s="12"/>
      <c r="V37" s="12"/>
      <c r="W37" s="12"/>
      <c r="X37" s="12"/>
      <c r="Y37" s="1"/>
      <c r="Z37" s="12"/>
      <c r="AA37" s="12"/>
      <c r="AB37" s="1"/>
      <c r="AC37" s="1"/>
      <c r="AD37" s="12"/>
      <c r="AE37" s="12"/>
      <c r="AF37" s="284"/>
      <c r="AG37" s="284"/>
      <c r="AH37" s="284"/>
      <c r="AI37" s="284"/>
      <c r="AJ37" s="284"/>
      <c r="AK37" s="12"/>
      <c r="AL37" s="5"/>
      <c r="AM37" s="5"/>
      <c r="AN37" s="13"/>
      <c r="AO37" s="13"/>
      <c r="AP37" s="13"/>
      <c r="AQ37" s="230"/>
      <c r="AR37" s="5"/>
      <c r="AS37" s="12"/>
      <c r="AT37" s="12"/>
      <c r="AU37" s="12"/>
      <c r="AV37" s="12"/>
    </row>
    <row r="38" spans="1:49" ht="21" hidden="1" customHeight="1" x14ac:dyDescent="0.25">
      <c r="A38" s="384" t="s">
        <v>145</v>
      </c>
      <c r="B38" s="384"/>
      <c r="C38" s="384"/>
      <c r="D38" s="384"/>
      <c r="E38" s="384"/>
      <c r="F38" s="384"/>
      <c r="G38" s="384" t="s">
        <v>146</v>
      </c>
      <c r="H38" s="384"/>
      <c r="I38" s="384"/>
      <c r="J38" s="12"/>
      <c r="K38" s="12"/>
      <c r="L38" s="12"/>
      <c r="M38" s="12"/>
      <c r="N38" s="12"/>
      <c r="O38" s="12"/>
      <c r="P38" s="1"/>
      <c r="Q38" s="12"/>
      <c r="R38" s="12"/>
      <c r="S38" s="12" t="s">
        <v>147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385" t="s">
        <v>148</v>
      </c>
      <c r="AE38" s="385"/>
      <c r="AF38" s="385"/>
      <c r="AG38" s="385"/>
      <c r="AH38" s="385"/>
      <c r="AI38" s="385"/>
      <c r="AJ38" s="385"/>
      <c r="AK38" s="5"/>
      <c r="AL38" s="384" t="s">
        <v>146</v>
      </c>
      <c r="AM38" s="384"/>
      <c r="AN38" s="384"/>
      <c r="AO38" s="384"/>
      <c r="AP38" s="384"/>
      <c r="AQ38" s="384"/>
      <c r="AR38" s="12"/>
      <c r="AS38" s="12"/>
      <c r="AT38" s="12"/>
      <c r="AU38" s="12"/>
      <c r="AV38" s="12"/>
    </row>
    <row r="41" spans="1:49" x14ac:dyDescent="0.25">
      <c r="AN41" s="54"/>
      <c r="AW41" s="360"/>
    </row>
    <row r="70" spans="1:73" s="58" customFormat="1" x14ac:dyDescent="0.25">
      <c r="A70" s="53"/>
      <c r="B70" s="47"/>
      <c r="C70" s="47"/>
      <c r="D70" s="47"/>
      <c r="E70" s="47"/>
      <c r="F70" s="47"/>
      <c r="G70" s="47"/>
      <c r="H70" s="47"/>
      <c r="I70" s="54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57"/>
      <c r="AR70" s="47"/>
      <c r="AW70" s="59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s="58" customFormat="1" x14ac:dyDescent="0.25">
      <c r="A71" s="53"/>
      <c r="B71" s="47"/>
      <c r="C71" s="47"/>
      <c r="D71" s="47"/>
      <c r="E71" s="47"/>
      <c r="F71" s="47"/>
      <c r="G71" s="47"/>
      <c r="H71" s="47"/>
      <c r="I71" s="54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57"/>
      <c r="AR71" s="47"/>
      <c r="AW71" s="59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s="58" customFormat="1" x14ac:dyDescent="0.25">
      <c r="A72" s="53"/>
      <c r="B72" s="47"/>
      <c r="C72" s="47"/>
      <c r="D72" s="47"/>
      <c r="E72" s="47"/>
      <c r="F72" s="47"/>
      <c r="G72" s="47"/>
      <c r="H72" s="47"/>
      <c r="I72" s="54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57"/>
      <c r="AR72" s="47"/>
      <c r="AW72" s="59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s="58" customFormat="1" x14ac:dyDescent="0.25">
      <c r="A73" s="53"/>
      <c r="B73" s="47"/>
      <c r="C73" s="47"/>
      <c r="D73" s="47"/>
      <c r="E73" s="47"/>
      <c r="F73" s="47"/>
      <c r="G73" s="47"/>
      <c r="H73" s="47"/>
      <c r="I73" s="54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57"/>
      <c r="AR73" s="47"/>
      <c r="AW73" s="59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s="58" customFormat="1" x14ac:dyDescent="0.25">
      <c r="A74" s="53"/>
      <c r="B74" s="47"/>
      <c r="C74" s="47"/>
      <c r="D74" s="47"/>
      <c r="E74" s="47"/>
      <c r="F74" s="47"/>
      <c r="G74" s="47"/>
      <c r="H74" s="47"/>
      <c r="I74" s="54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57"/>
      <c r="AR74" s="47"/>
      <c r="AW74" s="59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s="58" customFormat="1" x14ac:dyDescent="0.25">
      <c r="A75" s="53"/>
      <c r="B75" s="47"/>
      <c r="C75" s="47"/>
      <c r="D75" s="47"/>
      <c r="E75" s="47"/>
      <c r="F75" s="47"/>
      <c r="G75" s="47"/>
      <c r="H75" s="47"/>
      <c r="I75" s="54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57"/>
      <c r="AR75" s="47"/>
      <c r="AW75" s="59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s="58" customFormat="1" x14ac:dyDescent="0.25">
      <c r="A76" s="53"/>
      <c r="B76" s="47"/>
      <c r="C76" s="47"/>
      <c r="D76" s="47"/>
      <c r="E76" s="47"/>
      <c r="F76" s="47"/>
      <c r="G76" s="47"/>
      <c r="H76" s="47"/>
      <c r="I76" s="54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57"/>
      <c r="AR76" s="47"/>
      <c r="AW76" s="59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s="58" customFormat="1" x14ac:dyDescent="0.25">
      <c r="A77" s="53"/>
      <c r="B77" s="47"/>
      <c r="C77" s="47"/>
      <c r="D77" s="47"/>
      <c r="E77" s="47"/>
      <c r="F77" s="47"/>
      <c r="G77" s="47"/>
      <c r="H77" s="47"/>
      <c r="I77" s="54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57"/>
      <c r="AR77" s="47"/>
      <c r="AW77" s="59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s="58" customFormat="1" x14ac:dyDescent="0.25">
      <c r="A78" s="53"/>
      <c r="B78" s="47"/>
      <c r="C78" s="47"/>
      <c r="D78" s="47"/>
      <c r="E78" s="47"/>
      <c r="F78" s="47"/>
      <c r="G78" s="47"/>
      <c r="H78" s="47"/>
      <c r="I78" s="54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57"/>
      <c r="AR78" s="47"/>
      <c r="AW78" s="59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</sheetData>
  <mergeCells count="89">
    <mergeCell ref="X7:AC7"/>
    <mergeCell ref="AD7:AN7"/>
    <mergeCell ref="AP7:AP9"/>
    <mergeCell ref="A3:AC3"/>
    <mergeCell ref="A4:AC4"/>
    <mergeCell ref="A6:A9"/>
    <mergeCell ref="B6:B9"/>
    <mergeCell ref="C6:C9"/>
    <mergeCell ref="D6:D9"/>
    <mergeCell ref="E6:E9"/>
    <mergeCell ref="F6:F9"/>
    <mergeCell ref="G6:H7"/>
    <mergeCell ref="I6:I9"/>
    <mergeCell ref="AE8:AE9"/>
    <mergeCell ref="N8:N9"/>
    <mergeCell ref="O8:O9"/>
    <mergeCell ref="AQ7:AV7"/>
    <mergeCell ref="AX7:AX9"/>
    <mergeCell ref="AY7:AY9"/>
    <mergeCell ref="AZ7:AZ9"/>
    <mergeCell ref="G8:G9"/>
    <mergeCell ref="H8:H9"/>
    <mergeCell ref="J8:J9"/>
    <mergeCell ref="K8:K9"/>
    <mergeCell ref="L8:L9"/>
    <mergeCell ref="M8:M9"/>
    <mergeCell ref="J6:Q7"/>
    <mergeCell ref="R6:S7"/>
    <mergeCell ref="T6:AC6"/>
    <mergeCell ref="AD6:AV6"/>
    <mergeCell ref="AW6:AW9"/>
    <mergeCell ref="T7:W7"/>
    <mergeCell ref="P8:Q8"/>
    <mergeCell ref="R8:R9"/>
    <mergeCell ref="S8:S9"/>
    <mergeCell ref="T8:U8"/>
    <mergeCell ref="V8:W8"/>
    <mergeCell ref="AU8:AU9"/>
    <mergeCell ref="X8:Y8"/>
    <mergeCell ref="Z8:AA8"/>
    <mergeCell ref="AB8:AC8"/>
    <mergeCell ref="AD8:AD9"/>
    <mergeCell ref="AG8:AG9"/>
    <mergeCell ref="AQ8:AQ9"/>
    <mergeCell ref="AR8:AR9"/>
    <mergeCell ref="AS8:AS9"/>
    <mergeCell ref="AT8:AT9"/>
    <mergeCell ref="AF8:AF9"/>
    <mergeCell ref="AH8:AH9"/>
    <mergeCell ref="AI8:AI9"/>
    <mergeCell ref="AJ8:AJ9"/>
    <mergeCell ref="AK8:AK9"/>
    <mergeCell ref="BN7:BN9"/>
    <mergeCell ref="A38:C38"/>
    <mergeCell ref="D38:F38"/>
    <mergeCell ref="G38:I38"/>
    <mergeCell ref="AD38:AJ38"/>
    <mergeCell ref="AL38:AQ38"/>
    <mergeCell ref="AV8:AV9"/>
    <mergeCell ref="P29:AC29"/>
    <mergeCell ref="AW29:AZ29"/>
    <mergeCell ref="A30:C30"/>
    <mergeCell ref="D30:F30"/>
    <mergeCell ref="G30:I30"/>
    <mergeCell ref="AD30:AJ30"/>
    <mergeCell ref="AL30:AQ30"/>
    <mergeCell ref="AL8:AM8"/>
    <mergeCell ref="AN8:AO8"/>
    <mergeCell ref="BI7:BI9"/>
    <mergeCell ref="BJ7:BJ9"/>
    <mergeCell ref="BK7:BK9"/>
    <mergeCell ref="BL7:BL9"/>
    <mergeCell ref="BM7:BM9"/>
    <mergeCell ref="BT6:BT9"/>
    <mergeCell ref="BU6:BU9"/>
    <mergeCell ref="BA7:BA9"/>
    <mergeCell ref="BB7:BB9"/>
    <mergeCell ref="BC7:BC9"/>
    <mergeCell ref="BD7:BD9"/>
    <mergeCell ref="BE7:BE9"/>
    <mergeCell ref="BF7:BF9"/>
    <mergeCell ref="BG7:BG9"/>
    <mergeCell ref="BH7:BH9"/>
    <mergeCell ref="AX6:BN6"/>
    <mergeCell ref="BO6:BO9"/>
    <mergeCell ref="BP6:BP9"/>
    <mergeCell ref="BQ6:BQ9"/>
    <mergeCell ref="BR6:BR9"/>
    <mergeCell ref="BS6:BS9"/>
  </mergeCells>
  <pageMargins left="0.4" right="0.25" top="0.75" bottom="0.75" header="0.3" footer="0.3"/>
  <pageSetup paperSize="8"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T01,26</vt:lpstr>
      <vt:lpstr>T02,26</vt:lpstr>
      <vt:lpstr>T3,26</vt:lpstr>
      <vt:lpstr>T4,26</vt:lpstr>
      <vt:lpstr>T5,26</vt:lpstr>
      <vt:lpstr>'T01,26'!Print_Area</vt:lpstr>
      <vt:lpstr>'T02,26'!Print_Area</vt:lpstr>
      <vt:lpstr>'T3,26'!Print_Area</vt:lpstr>
      <vt:lpstr>'T4,26'!Print_Area</vt:lpstr>
      <vt:lpstr>'T5,26'!Print_Area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2026-06-26T04:59:28Z</dcterms:modified>
</cp:coreProperties>
</file>