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35024273-790E-4A40-8FB9-294026EBDD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12.25" sheetId="55" r:id="rId1"/>
  </sheets>
  <externalReferences>
    <externalReference r:id="rId2"/>
  </externalReferences>
  <definedNames>
    <definedName name="_xlnm.Print_Area" localSheetId="0">'T12.25'!$A$1:$CJ$28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28" i="55" l="1"/>
  <c r="BK28" i="55"/>
  <c r="BN28" i="55"/>
  <c r="BO28" i="55"/>
  <c r="BP28" i="55"/>
  <c r="BQ28" i="55"/>
  <c r="BR28" i="55"/>
  <c r="BS28" i="55"/>
  <c r="BT28" i="55"/>
  <c r="BU28" i="55"/>
  <c r="BV28" i="55"/>
  <c r="BW28" i="55"/>
  <c r="BX28" i="55"/>
  <c r="BY28" i="55"/>
  <c r="BZ28" i="55"/>
  <c r="CA28" i="55"/>
  <c r="CB28" i="55"/>
  <c r="CD28" i="55"/>
  <c r="CE28" i="55"/>
  <c r="CG28" i="55"/>
  <c r="CH28" i="55"/>
  <c r="CI12" i="55"/>
  <c r="CI13" i="55"/>
  <c r="CI14" i="55"/>
  <c r="CI15" i="55"/>
  <c r="CI16" i="55"/>
  <c r="CI17" i="55"/>
  <c r="CI18" i="55"/>
  <c r="CI19" i="55"/>
  <c r="CI20" i="55"/>
  <c r="CI21" i="55"/>
  <c r="CI22" i="55"/>
  <c r="CI23" i="55"/>
  <c r="CI24" i="55"/>
  <c r="CI25" i="55"/>
  <c r="CI26" i="55"/>
  <c r="CI27" i="55"/>
  <c r="CI11" i="55"/>
  <c r="BE28" i="55"/>
  <c r="BD28" i="55"/>
  <c r="AZ28" i="55"/>
  <c r="AM28" i="55"/>
  <c r="R28" i="55"/>
  <c r="Q28" i="55"/>
  <c r="H28" i="55"/>
  <c r="G28" i="55"/>
  <c r="F28" i="55"/>
  <c r="E28" i="55"/>
  <c r="D28" i="55"/>
  <c r="AX27" i="55"/>
  <c r="AW27" i="55"/>
  <c r="AV27" i="55"/>
  <c r="AU27" i="55"/>
  <c r="AT27" i="55"/>
  <c r="AS27" i="55"/>
  <c r="AR27" i="55"/>
  <c r="AP27" i="55"/>
  <c r="S27" i="55"/>
  <c r="P27" i="55"/>
  <c r="AQ27" i="55" s="1"/>
  <c r="O27" i="55"/>
  <c r="M27" i="55"/>
  <c r="AN27" i="55" s="1"/>
  <c r="L27" i="55"/>
  <c r="AO27" i="55" s="1"/>
  <c r="K27" i="55"/>
  <c r="J27" i="55"/>
  <c r="BG27" i="55" s="1"/>
  <c r="I27" i="55"/>
  <c r="BB26" i="55"/>
  <c r="AX26" i="55"/>
  <c r="AW26" i="55"/>
  <c r="AV26" i="55"/>
  <c r="AU26" i="55"/>
  <c r="AT26" i="55"/>
  <c r="AS26" i="55"/>
  <c r="AR26" i="55"/>
  <c r="AP26" i="55"/>
  <c r="S26" i="55"/>
  <c r="P26" i="55"/>
  <c r="AQ26" i="55" s="1"/>
  <c r="M26" i="55"/>
  <c r="AN26" i="55" s="1"/>
  <c r="L26" i="55"/>
  <c r="AO26" i="55" s="1"/>
  <c r="K26" i="55"/>
  <c r="AL26" i="55" s="1"/>
  <c r="J26" i="55"/>
  <c r="AJ26" i="55" s="1"/>
  <c r="I26" i="55"/>
  <c r="AX25" i="55"/>
  <c r="AW25" i="55"/>
  <c r="AV25" i="55"/>
  <c r="AU25" i="55"/>
  <c r="AT25" i="55"/>
  <c r="AS25" i="55"/>
  <c r="AR25" i="55"/>
  <c r="AP25" i="55"/>
  <c r="AO25" i="55"/>
  <c r="S25" i="55"/>
  <c r="P25" i="55"/>
  <c r="AQ25" i="55" s="1"/>
  <c r="O25" i="55"/>
  <c r="M25" i="55"/>
  <c r="AN25" i="55" s="1"/>
  <c r="K25" i="55"/>
  <c r="AL25" i="55" s="1"/>
  <c r="J25" i="55"/>
  <c r="BG25" i="55" s="1"/>
  <c r="I25" i="55"/>
  <c r="BG24" i="55"/>
  <c r="AJ24" i="55"/>
  <c r="AI24" i="55"/>
  <c r="AH24" i="55"/>
  <c r="AG24" i="55"/>
  <c r="AF24" i="55"/>
  <c r="AE24" i="55"/>
  <c r="AD24" i="55"/>
  <c r="P24" i="55"/>
  <c r="AQ24" i="55" s="1"/>
  <c r="N24" i="55"/>
  <c r="N28" i="55" s="1"/>
  <c r="M24" i="55"/>
  <c r="AN24" i="55" s="1"/>
  <c r="K24" i="55"/>
  <c r="AL24" i="55" s="1"/>
  <c r="I24" i="55"/>
  <c r="AK24" i="55" s="1"/>
  <c r="BC23" i="55"/>
  <c r="AR23" i="55"/>
  <c r="AP23" i="55"/>
  <c r="AI23" i="55"/>
  <c r="AH23" i="55"/>
  <c r="AG23" i="55"/>
  <c r="AF23" i="55"/>
  <c r="AE23" i="55"/>
  <c r="AD23" i="55"/>
  <c r="AC23" i="55"/>
  <c r="AB23" i="55"/>
  <c r="AA23" i="55"/>
  <c r="Z23" i="55"/>
  <c r="Y23" i="55"/>
  <c r="X23" i="55"/>
  <c r="W23" i="55"/>
  <c r="V23" i="55"/>
  <c r="U23" i="55"/>
  <c r="T23" i="55"/>
  <c r="S23" i="55"/>
  <c r="P23" i="55"/>
  <c r="AQ23" i="55" s="1"/>
  <c r="O23" i="55"/>
  <c r="M23" i="55"/>
  <c r="AN23" i="55" s="1"/>
  <c r="L23" i="55"/>
  <c r="AO23" i="55" s="1"/>
  <c r="K23" i="55"/>
  <c r="AL23" i="55" s="1"/>
  <c r="J23" i="55"/>
  <c r="BG23" i="55" s="1"/>
  <c r="AR22" i="55"/>
  <c r="AP22" i="55"/>
  <c r="AI22" i="55"/>
  <c r="AH22" i="55"/>
  <c r="AG22" i="55"/>
  <c r="AF22" i="55"/>
  <c r="AE22" i="55"/>
  <c r="AD22" i="55"/>
  <c r="AC22" i="55"/>
  <c r="AB22" i="55"/>
  <c r="AA22" i="55"/>
  <c r="Z22" i="55"/>
  <c r="Y22" i="55"/>
  <c r="X22" i="55"/>
  <c r="W22" i="55"/>
  <c r="V22" i="55"/>
  <c r="U22" i="55"/>
  <c r="T22" i="55"/>
  <c r="S22" i="55"/>
  <c r="P22" i="55"/>
  <c r="AQ22" i="55" s="1"/>
  <c r="O22" i="55"/>
  <c r="M22" i="55"/>
  <c r="AN22" i="55" s="1"/>
  <c r="L22" i="55"/>
  <c r="AO22" i="55" s="1"/>
  <c r="K22" i="55"/>
  <c r="J22" i="55"/>
  <c r="BG22" i="55" s="1"/>
  <c r="BC21" i="55"/>
  <c r="AR21" i="55"/>
  <c r="AP21" i="55"/>
  <c r="AI21" i="55"/>
  <c r="AH21" i="55"/>
  <c r="AG21" i="55"/>
  <c r="AF21" i="55"/>
  <c r="AE21" i="55"/>
  <c r="AD21" i="55"/>
  <c r="AC21" i="55"/>
  <c r="AB21" i="55"/>
  <c r="AA21" i="55"/>
  <c r="Z21" i="55"/>
  <c r="Y21" i="55"/>
  <c r="X21" i="55"/>
  <c r="W21" i="55"/>
  <c r="V21" i="55"/>
  <c r="U21" i="55"/>
  <c r="T21" i="55"/>
  <c r="S21" i="55"/>
  <c r="P21" i="55"/>
  <c r="AQ21" i="55" s="1"/>
  <c r="O21" i="55"/>
  <c r="M21" i="55"/>
  <c r="AN21" i="55" s="1"/>
  <c r="L21" i="55"/>
  <c r="AO21" i="55" s="1"/>
  <c r="K21" i="55"/>
  <c r="AL21" i="55" s="1"/>
  <c r="J21" i="55"/>
  <c r="I21" i="55"/>
  <c r="AR20" i="55"/>
  <c r="AP20" i="55"/>
  <c r="AI20" i="55"/>
  <c r="AH20" i="55"/>
  <c r="AG20" i="55"/>
  <c r="AF20" i="55"/>
  <c r="AE20" i="55"/>
  <c r="AD20" i="55"/>
  <c r="AC20" i="55"/>
  <c r="AB20" i="55"/>
  <c r="AA20" i="55"/>
  <c r="Z20" i="55"/>
  <c r="Y20" i="55"/>
  <c r="X20" i="55"/>
  <c r="W20" i="55"/>
  <c r="V20" i="55"/>
  <c r="U20" i="55"/>
  <c r="T20" i="55"/>
  <c r="S20" i="55"/>
  <c r="P20" i="55"/>
  <c r="O20" i="55"/>
  <c r="M20" i="55"/>
  <c r="AN20" i="55" s="1"/>
  <c r="L20" i="55"/>
  <c r="AO20" i="55" s="1"/>
  <c r="K20" i="55"/>
  <c r="AL20" i="55" s="1"/>
  <c r="J20" i="55"/>
  <c r="BG20" i="55" s="1"/>
  <c r="I20" i="55"/>
  <c r="BB19" i="55"/>
  <c r="AR19" i="55"/>
  <c r="AP19" i="55"/>
  <c r="AI19" i="55"/>
  <c r="AH19" i="55"/>
  <c r="AG19" i="55"/>
  <c r="AF19" i="55"/>
  <c r="AE19" i="55"/>
  <c r="AD19" i="55"/>
  <c r="AC19" i="55"/>
  <c r="AB19" i="55"/>
  <c r="AA19" i="55"/>
  <c r="Z19" i="55"/>
  <c r="Y19" i="55"/>
  <c r="X19" i="55"/>
  <c r="W19" i="55"/>
  <c r="V19" i="55"/>
  <c r="U19" i="55"/>
  <c r="T19" i="55"/>
  <c r="S19" i="55"/>
  <c r="P19" i="55"/>
  <c r="O19" i="55"/>
  <c r="M19" i="55"/>
  <c r="AN19" i="55" s="1"/>
  <c r="L19" i="55"/>
  <c r="AO19" i="55" s="1"/>
  <c r="K19" i="55"/>
  <c r="AL19" i="55" s="1"/>
  <c r="J19" i="55"/>
  <c r="I19" i="55"/>
  <c r="BB18" i="55"/>
  <c r="AR18" i="55"/>
  <c r="AP18" i="55"/>
  <c r="AI18" i="55"/>
  <c r="AH18" i="55"/>
  <c r="AG18" i="55"/>
  <c r="AF18" i="55"/>
  <c r="AE18" i="55"/>
  <c r="AD18" i="55"/>
  <c r="AC18" i="55"/>
  <c r="AB18" i="55"/>
  <c r="AA18" i="55"/>
  <c r="Z18" i="55"/>
  <c r="Y18" i="55"/>
  <c r="X18" i="55"/>
  <c r="U18" i="55"/>
  <c r="T18" i="55"/>
  <c r="AW18" i="55" s="1"/>
  <c r="S18" i="55"/>
  <c r="P18" i="55"/>
  <c r="AQ18" i="55" s="1"/>
  <c r="O18" i="55"/>
  <c r="M18" i="55"/>
  <c r="AN18" i="55" s="1"/>
  <c r="L18" i="55"/>
  <c r="AO18" i="55" s="1"/>
  <c r="K18" i="55"/>
  <c r="AL18" i="55" s="1"/>
  <c r="J18" i="55"/>
  <c r="BG18" i="55" s="1"/>
  <c r="I18" i="55"/>
  <c r="AI17" i="55"/>
  <c r="AH17" i="55"/>
  <c r="AG17" i="55"/>
  <c r="AF17" i="55"/>
  <c r="AE17" i="55"/>
  <c r="AD17" i="55"/>
  <c r="S17" i="55"/>
  <c r="P17" i="55"/>
  <c r="AQ17" i="55" s="1"/>
  <c r="O17" i="55"/>
  <c r="M17" i="55"/>
  <c r="L17" i="55"/>
  <c r="AO17" i="55" s="1"/>
  <c r="K17" i="55"/>
  <c r="AL17" i="55" s="1"/>
  <c r="J17" i="55"/>
  <c r="AJ17" i="55" s="1"/>
  <c r="I17" i="55"/>
  <c r="AK17" i="55" s="1"/>
  <c r="BH17" i="55" s="1"/>
  <c r="AR16" i="55"/>
  <c r="AP16" i="55"/>
  <c r="AI16" i="55"/>
  <c r="AH16" i="55"/>
  <c r="AG16" i="55"/>
  <c r="AF16" i="55"/>
  <c r="AE16" i="55"/>
  <c r="AD16" i="55"/>
  <c r="AC16" i="55"/>
  <c r="AB16" i="55"/>
  <c r="AA16" i="55"/>
  <c r="Z16" i="55"/>
  <c r="Y16" i="55"/>
  <c r="X16" i="55"/>
  <c r="U16" i="55"/>
  <c r="T16" i="55"/>
  <c r="AW16" i="55" s="1"/>
  <c r="S16" i="55"/>
  <c r="P16" i="55"/>
  <c r="AQ16" i="55" s="1"/>
  <c r="O16" i="55"/>
  <c r="M16" i="55"/>
  <c r="AN16" i="55" s="1"/>
  <c r="L16" i="55"/>
  <c r="AO16" i="55" s="1"/>
  <c r="K16" i="55"/>
  <c r="AL16" i="55" s="1"/>
  <c r="J16" i="55"/>
  <c r="BG16" i="55" s="1"/>
  <c r="I16" i="55"/>
  <c r="BL15" i="55"/>
  <c r="AN15" i="55"/>
  <c r="AR14" i="55"/>
  <c r="AP14" i="55"/>
  <c r="AI14" i="55"/>
  <c r="AH14" i="55"/>
  <c r="AG14" i="55"/>
  <c r="AF14" i="55"/>
  <c r="AE14" i="55"/>
  <c r="AD14" i="55"/>
  <c r="AC14" i="55"/>
  <c r="AB14" i="55"/>
  <c r="AA14" i="55"/>
  <c r="Z14" i="55"/>
  <c r="Y14" i="55"/>
  <c r="X14" i="55"/>
  <c r="W14" i="55"/>
  <c r="V14" i="55"/>
  <c r="U14" i="55"/>
  <c r="T14" i="55"/>
  <c r="S14" i="55"/>
  <c r="P14" i="55"/>
  <c r="AQ14" i="55" s="1"/>
  <c r="O14" i="55"/>
  <c r="M14" i="55"/>
  <c r="AN14" i="55" s="1"/>
  <c r="L14" i="55"/>
  <c r="AO14" i="55" s="1"/>
  <c r="K14" i="55"/>
  <c r="AL14" i="55" s="1"/>
  <c r="J14" i="55"/>
  <c r="BG14" i="55" s="1"/>
  <c r="I14" i="55"/>
  <c r="AR13" i="55"/>
  <c r="AP13" i="55"/>
  <c r="AI13" i="55"/>
  <c r="AH13" i="55"/>
  <c r="AG13" i="55"/>
  <c r="AF13" i="55"/>
  <c r="AE13" i="55"/>
  <c r="AD13" i="55"/>
  <c r="AC13" i="55"/>
  <c r="AB13" i="55"/>
  <c r="AA13" i="55"/>
  <c r="Z13" i="55"/>
  <c r="Y13" i="55"/>
  <c r="X13" i="55"/>
  <c r="U13" i="55"/>
  <c r="AX13" i="55" s="1"/>
  <c r="T13" i="55"/>
  <c r="AW13" i="55" s="1"/>
  <c r="S13" i="55"/>
  <c r="P13" i="55"/>
  <c r="AQ13" i="55" s="1"/>
  <c r="O13" i="55"/>
  <c r="M13" i="55"/>
  <c r="AN13" i="55" s="1"/>
  <c r="L13" i="55"/>
  <c r="AO13" i="55" s="1"/>
  <c r="K13" i="55"/>
  <c r="AL13" i="55" s="1"/>
  <c r="J13" i="55"/>
  <c r="BG13" i="55" s="1"/>
  <c r="I13" i="55"/>
  <c r="AR12" i="55"/>
  <c r="AP12" i="55"/>
  <c r="AI12" i="55"/>
  <c r="AH12" i="55"/>
  <c r="AG12" i="55"/>
  <c r="AF12" i="55"/>
  <c r="AE12" i="55"/>
  <c r="AD12" i="55"/>
  <c r="AC12" i="55"/>
  <c r="AB12" i="55"/>
  <c r="AA12" i="55"/>
  <c r="Z12" i="55"/>
  <c r="Y12" i="55"/>
  <c r="X12" i="55"/>
  <c r="U12" i="55"/>
  <c r="T12" i="55"/>
  <c r="S12" i="55"/>
  <c r="P12" i="55"/>
  <c r="AQ12" i="55" s="1"/>
  <c r="O12" i="55"/>
  <c r="M12" i="55"/>
  <c r="AN12" i="55" s="1"/>
  <c r="L12" i="55"/>
  <c r="AO12" i="55" s="1"/>
  <c r="K12" i="55"/>
  <c r="AL12" i="55" s="1"/>
  <c r="J12" i="55"/>
  <c r="BG12" i="55" s="1"/>
  <c r="I12" i="55"/>
  <c r="AX11" i="55"/>
  <c r="AW11" i="55"/>
  <c r="AR11" i="55"/>
  <c r="AP11" i="55"/>
  <c r="AI11" i="55"/>
  <c r="AT11" i="55" s="1"/>
  <c r="AH11" i="55"/>
  <c r="AU11" i="55" s="1"/>
  <c r="S11" i="55"/>
  <c r="P11" i="55"/>
  <c r="AQ11" i="55" s="1"/>
  <c r="O11" i="55"/>
  <c r="M11" i="55"/>
  <c r="L11" i="55"/>
  <c r="K11" i="55"/>
  <c r="J11" i="55"/>
  <c r="I11" i="55"/>
  <c r="AX18" i="55" l="1"/>
  <c r="CI28" i="55"/>
  <c r="AX16" i="55"/>
  <c r="AU14" i="55"/>
  <c r="BM15" i="55"/>
  <c r="CC15" i="55" s="1"/>
  <c r="CF15" i="55" s="1"/>
  <c r="CJ15" i="55" s="1"/>
  <c r="AV18" i="55"/>
  <c r="AS18" i="55"/>
  <c r="AX22" i="55"/>
  <c r="AU22" i="55"/>
  <c r="AX20" i="55"/>
  <c r="BA21" i="55"/>
  <c r="AX21" i="55"/>
  <c r="AK19" i="55"/>
  <c r="BH19" i="55" s="1"/>
  <c r="AW22" i="55"/>
  <c r="AT12" i="55"/>
  <c r="AV16" i="55"/>
  <c r="AT18" i="55"/>
  <c r="AQ19" i="55"/>
  <c r="AT19" i="55"/>
  <c r="AY21" i="55"/>
  <c r="AW21" i="55"/>
  <c r="AT17" i="55"/>
  <c r="S28" i="55"/>
  <c r="AU16" i="55"/>
  <c r="AK11" i="55"/>
  <c r="BH11" i="55" s="1"/>
  <c r="AK13" i="55"/>
  <c r="AK14" i="55"/>
  <c r="BH14" i="55" s="1"/>
  <c r="BI14" i="55" s="1"/>
  <c r="AW14" i="55"/>
  <c r="AX19" i="55"/>
  <c r="AK25" i="55"/>
  <c r="BH25" i="55" s="1"/>
  <c r="AY26" i="55"/>
  <c r="X28" i="55"/>
  <c r="AF28" i="55"/>
  <c r="BA27" i="55"/>
  <c r="AU12" i="55"/>
  <c r="AX14" i="55"/>
  <c r="AY19" i="55"/>
  <c r="AW19" i="55"/>
  <c r="AT21" i="55"/>
  <c r="AJ25" i="55"/>
  <c r="L28" i="55"/>
  <c r="AS14" i="55"/>
  <c r="AV19" i="55"/>
  <c r="AU20" i="55"/>
  <c r="AS21" i="55"/>
  <c r="AV22" i="55"/>
  <c r="W28" i="55"/>
  <c r="AX23" i="55"/>
  <c r="AV23" i="55"/>
  <c r="AV13" i="55"/>
  <c r="AY17" i="55"/>
  <c r="AK20" i="55"/>
  <c r="BH20" i="55" s="1"/>
  <c r="AT22" i="55"/>
  <c r="AS24" i="55"/>
  <c r="AY12" i="55"/>
  <c r="T28" i="55"/>
  <c r="AS12" i="55"/>
  <c r="AJ13" i="55"/>
  <c r="AT14" i="55"/>
  <c r="AK27" i="55"/>
  <c r="BH27" i="55" s="1"/>
  <c r="BI27" i="55" s="1"/>
  <c r="AC28" i="55"/>
  <c r="AT13" i="55"/>
  <c r="AS17" i="55"/>
  <c r="BI20" i="55"/>
  <c r="AY22" i="55"/>
  <c r="AW23" i="55"/>
  <c r="BA25" i="55"/>
  <c r="AJ11" i="55"/>
  <c r="U28" i="55"/>
  <c r="AE28" i="55"/>
  <c r="AY13" i="55"/>
  <c r="BG17" i="55"/>
  <c r="BI17" i="55" s="1"/>
  <c r="AS19" i="55"/>
  <c r="AS23" i="55"/>
  <c r="AP24" i="55"/>
  <c r="AP28" i="55" s="1"/>
  <c r="K28" i="55"/>
  <c r="AU13" i="55"/>
  <c r="AS13" i="55"/>
  <c r="AK18" i="55"/>
  <c r="BH18" i="55" s="1"/>
  <c r="BI18" i="55" s="1"/>
  <c r="AY20" i="55"/>
  <c r="BC28" i="55"/>
  <c r="AT23" i="55"/>
  <c r="BG26" i="55"/>
  <c r="AK16" i="55"/>
  <c r="BH16" i="55" s="1"/>
  <c r="BI16" i="55" s="1"/>
  <c r="BA19" i="55"/>
  <c r="BA20" i="55"/>
  <c r="BA23" i="55"/>
  <c r="M28" i="55"/>
  <c r="AR28" i="55"/>
  <c r="AV14" i="55"/>
  <c r="AT16" i="55"/>
  <c r="AU18" i="55"/>
  <c r="Y28" i="55"/>
  <c r="P28" i="55"/>
  <c r="AS20" i="55"/>
  <c r="AU21" i="55"/>
  <c r="AJ21" i="55"/>
  <c r="BA22" i="55"/>
  <c r="AS22" i="55"/>
  <c r="O28" i="55"/>
  <c r="AV11" i="55"/>
  <c r="AA28" i="55"/>
  <c r="V28" i="55"/>
  <c r="AS16" i="55"/>
  <c r="AU19" i="55"/>
  <c r="BG19" i="55"/>
  <c r="AV20" i="55"/>
  <c r="AV21" i="55"/>
  <c r="AU23" i="55"/>
  <c r="AT24" i="55"/>
  <c r="BI25" i="55"/>
  <c r="AB28" i="55"/>
  <c r="AK12" i="55"/>
  <c r="BH12" i="55" s="1"/>
  <c r="BI12" i="55" s="1"/>
  <c r="BB28" i="55"/>
  <c r="AW20" i="55"/>
  <c r="AJ20" i="55"/>
  <c r="AY25" i="55"/>
  <c r="AN28" i="55"/>
  <c r="BH24" i="55"/>
  <c r="BI24" i="55" s="1"/>
  <c r="AQ20" i="55"/>
  <c r="AK26" i="55"/>
  <c r="BH26" i="55" s="1"/>
  <c r="AO11" i="55"/>
  <c r="AO28" i="55" s="1"/>
  <c r="AK21" i="55"/>
  <c r="BH21" i="55" s="1"/>
  <c r="BG21" i="55"/>
  <c r="J28" i="55"/>
  <c r="AH28" i="55"/>
  <c r="AW12" i="55"/>
  <c r="AY16" i="55"/>
  <c r="AY18" i="55"/>
  <c r="AJ19" i="55"/>
  <c r="AT20" i="55"/>
  <c r="AJ23" i="55"/>
  <c r="AI28" i="55"/>
  <c r="AL22" i="55"/>
  <c r="AL27" i="55"/>
  <c r="AL28" i="55" s="1"/>
  <c r="I28" i="55"/>
  <c r="AG28" i="55"/>
  <c r="AV12" i="55"/>
  <c r="Z28" i="55"/>
  <c r="BG11" i="55"/>
  <c r="AX12" i="55"/>
  <c r="BA16" i="55"/>
  <c r="AK23" i="55"/>
  <c r="BH23" i="55" s="1"/>
  <c r="BI23" i="55" s="1"/>
  <c r="AY24" i="55"/>
  <c r="AY27" i="55"/>
  <c r="AS11" i="55"/>
  <c r="AY14" i="55"/>
  <c r="AJ16" i="55"/>
  <c r="AJ18" i="55"/>
  <c r="AJ22" i="55"/>
  <c r="BA26" i="55"/>
  <c r="AJ27" i="55"/>
  <c r="AD28" i="55"/>
  <c r="AJ12" i="55"/>
  <c r="AJ14" i="55"/>
  <c r="AK22" i="55"/>
  <c r="BH22" i="55" s="1"/>
  <c r="BI22" i="55" s="1"/>
  <c r="BG28" i="55" l="1"/>
  <c r="BI19" i="55"/>
  <c r="BF17" i="55"/>
  <c r="BL17" i="55" s="1"/>
  <c r="BI21" i="55"/>
  <c r="AW28" i="55"/>
  <c r="BF13" i="55"/>
  <c r="BL13" i="55" s="1"/>
  <c r="BH13" i="55"/>
  <c r="BI13" i="55" s="1"/>
  <c r="AU28" i="55"/>
  <c r="AQ28" i="55"/>
  <c r="BF14" i="55"/>
  <c r="BL14" i="55" s="1"/>
  <c r="BF25" i="55"/>
  <c r="BL25" i="55" s="1"/>
  <c r="AX28" i="55"/>
  <c r="AS28" i="55"/>
  <c r="AV28" i="55"/>
  <c r="BI26" i="55"/>
  <c r="BF19" i="55"/>
  <c r="BL19" i="55" s="1"/>
  <c r="BF24" i="55"/>
  <c r="BL24" i="55" s="1"/>
  <c r="BF27" i="55"/>
  <c r="BL27" i="55" s="1"/>
  <c r="BF16" i="55"/>
  <c r="BL16" i="55" s="1"/>
  <c r="AY28" i="55"/>
  <c r="BF23" i="55"/>
  <c r="BL23" i="55" s="1"/>
  <c r="AT28" i="55"/>
  <c r="BI11" i="55"/>
  <c r="BI28" i="55" s="1"/>
  <c r="BF21" i="55"/>
  <c r="BL21" i="55" s="1"/>
  <c r="AK28" i="55"/>
  <c r="AJ28" i="55"/>
  <c r="BF12" i="55"/>
  <c r="BL12" i="55" s="1"/>
  <c r="BF26" i="55"/>
  <c r="BF20" i="55"/>
  <c r="BL20" i="55" s="1"/>
  <c r="BF22" i="55"/>
  <c r="BL22" i="55" s="1"/>
  <c r="BF18" i="55"/>
  <c r="BL18" i="55" s="1"/>
  <c r="BA28" i="55"/>
  <c r="BF11" i="55"/>
  <c r="BH28" i="55" l="1"/>
  <c r="BM25" i="55"/>
  <c r="CC25" i="55" s="1"/>
  <c r="CF25" i="55" s="1"/>
  <c r="CJ25" i="55" s="1"/>
  <c r="BM21" i="55"/>
  <c r="CC21" i="55" s="1"/>
  <c r="CF21" i="55" s="1"/>
  <c r="CJ21" i="55" s="1"/>
  <c r="BM14" i="55"/>
  <c r="CC14" i="55" s="1"/>
  <c r="CF14" i="55" s="1"/>
  <c r="CJ14" i="55" s="1"/>
  <c r="BM23" i="55"/>
  <c r="CC23" i="55" s="1"/>
  <c r="CF23" i="55" s="1"/>
  <c r="CJ23" i="55" s="1"/>
  <c r="BM18" i="55"/>
  <c r="CC18" i="55" s="1"/>
  <c r="CF18" i="55" s="1"/>
  <c r="CJ18" i="55" s="1"/>
  <c r="BM22" i="55"/>
  <c r="CC22" i="55" s="1"/>
  <c r="CF22" i="55" s="1"/>
  <c r="CJ22" i="55" s="1"/>
  <c r="BM16" i="55"/>
  <c r="CC16" i="55" s="1"/>
  <c r="BM20" i="55"/>
  <c r="CC20" i="55" s="1"/>
  <c r="CF20" i="55" s="1"/>
  <c r="CJ20" i="55" s="1"/>
  <c r="BM27" i="55"/>
  <c r="CC27" i="55" s="1"/>
  <c r="CF27" i="55" s="1"/>
  <c r="CJ27" i="55" s="1"/>
  <c r="BM13" i="55"/>
  <c r="CC13" i="55" s="1"/>
  <c r="CF13" i="55" s="1"/>
  <c r="CJ13" i="55" s="1"/>
  <c r="BM24" i="55"/>
  <c r="CC24" i="55" s="1"/>
  <c r="CF24" i="55" s="1"/>
  <c r="CJ24" i="55" s="1"/>
  <c r="BM12" i="55"/>
  <c r="BM19" i="55"/>
  <c r="CC19" i="55" s="1"/>
  <c r="CF19" i="55" s="1"/>
  <c r="CJ19" i="55" s="1"/>
  <c r="BM17" i="55"/>
  <c r="CC17" i="55" s="1"/>
  <c r="CF17" i="55" s="1"/>
  <c r="CJ17" i="55" s="1"/>
  <c r="BL26" i="55"/>
  <c r="BL11" i="55"/>
  <c r="BL28" i="55" s="1"/>
  <c r="BF28" i="55"/>
  <c r="CC12" i="55" l="1"/>
  <c r="CF12" i="55" s="1"/>
  <c r="CJ12" i="55" s="1"/>
  <c r="CF16" i="55"/>
  <c r="BM26" i="55"/>
  <c r="CC26" i="55" s="1"/>
  <c r="CF26" i="55" s="1"/>
  <c r="CJ26" i="55" s="1"/>
  <c r="BM11" i="55"/>
  <c r="BM28" i="55" l="1"/>
  <c r="CJ16" i="55"/>
  <c r="CC11" i="55"/>
  <c r="CC28" i="55" s="1"/>
  <c r="CF11" i="55" l="1"/>
  <c r="CF28" i="55" s="1"/>
  <c r="CJ11" i="55" l="1"/>
  <c r="CJ28" i="55" s="1"/>
  <c r="CF30" i="5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6" authorId="0" shapeId="0" xr:uid="{843DC810-DA10-4753-BE88-E8BC63F36B5E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Theo qđ 4886 24/6/2024</t>
        </r>
      </text>
    </comment>
    <comment ref="E6" authorId="0" shapeId="0" xr:uid="{6D137E3E-27FB-4F9C-B106-9D9EEFD8C62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Bỏ cột này vì đã có cột H rồi</t>
        </r>
      </text>
    </comment>
    <comment ref="T6" authorId="0" shapeId="0" xr:uid="{444846F8-48C2-48DA-A519-B6C98AFAA7C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Xem lại ghi số tháng 5 hay là tháng 6 cho đúng</t>
        </r>
      </text>
    </comment>
    <comment ref="BF6" authorId="0" shapeId="0" xr:uid="{68D9AC09-DEE6-449C-9CCE-92A7FE65A19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Lên bỏ số tháng không cần ghi (vì đây là bảng lương của tháng 6 đã ghi ngay trên đầu biểu rồi</t>
        </r>
      </text>
    </comment>
    <comment ref="BG6" authorId="0" shapeId="0" xr:uid="{A14F1554-617E-43B2-9E7D-1DAABE1E837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cần ghi (vì đây là bảng lương của tháng 6 đã ghi ngay trên đầu biểu rồi</t>
        </r>
      </text>
    </comment>
    <comment ref="BJ6" authorId="0" shapeId="0" xr:uid="{C15929C4-6C4F-4A17-9DD5-E97FC360CCE0}">
      <text>
        <r>
          <rPr>
            <b/>
            <sz val="9"/>
            <color rgb="FF000000"/>
            <rFont val="Tahoma"/>
            <family val="2"/>
            <charset val="163"/>
          </rPr>
          <t>Author:</t>
        </r>
        <r>
          <rPr>
            <sz val="9"/>
            <color rgb="FF000000"/>
            <rFont val="Tahoma"/>
            <family val="2"/>
            <charset val="163"/>
          </rPr>
          <t xml:space="preserve">
Nhập số liệu tiền lương chất lượng còn được chi sau quyết toán( không có bổ sung thu nhập còn chi, không có tiền B,C còn lại</t>
        </r>
      </text>
    </comment>
    <comment ref="BK6" authorId="0" shapeId="0" xr:uid="{622A9E7B-CDA2-4B79-9003-8C9CD07B98C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Năm nay không có số liệu cột này</t>
        </r>
      </text>
    </comment>
    <comment ref="AY7" authorId="0" shapeId="0" xr:uid="{2F9B0CE1-2E73-4DFF-860C-29825A436247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Bổ sung cột này</t>
        </r>
      </text>
    </comment>
    <comment ref="AJ8" authorId="0" shapeId="0" xr:uid="{EA7DF068-34FA-4574-AD05-9E3C577A05D5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tháng 12 không tạm trả( đủ 100%)</t>
        </r>
      </text>
    </comment>
    <comment ref="AM8" authorId="0" shapeId="0" xr:uid="{30AD7D30-8934-412B-AA48-4E7457A9848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Tháng 11 không làm BSTN</t>
        </r>
      </text>
    </comment>
    <comment ref="AO8" authorId="0" shapeId="0" xr:uid="{D2DBE584-ECC6-4E14-9116-C9F7EF92BFC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Có thể dồn vào cột AN được vì cùng hưởng 1 mức lương (khi tính lương đát j công thức nhân với cột các loại công là được)</t>
        </r>
      </text>
    </comment>
    <comment ref="A10" authorId="0" shapeId="0" xr:uid="{741D2E8E-56D1-4AFC-838A-DE01B07ED16C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B10" authorId="0" shapeId="0" xr:uid="{E3615AB5-2A33-4EEC-AEA2-C32733E57B12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C10" authorId="0" shapeId="0" xr:uid="{D8ED4CCF-49D3-46A3-A3FD-FDB7775AE18F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Đánh lại TT các cột theo yêu cầu ( số 01 bắt đầu từ cột lương chức danh)</t>
        </r>
      </text>
    </comment>
    <comment ref="AK11" authorId="0" shapeId="0" xr:uid="{40BC1036-FD41-44E5-A46D-6C42AE2C1A90}">
      <text>
        <r>
          <rPr>
            <b/>
            <sz val="9"/>
            <color indexed="81"/>
            <rFont val="Tahoma"/>
            <family val="2"/>
          </rPr>
          <t>Author:
Công thức đặt thiếu khi A chua nhân với ô B6 (85% tạm chi lương)</t>
        </r>
      </text>
    </comment>
    <comment ref="AL11" authorId="0" shapeId="0" xr:uid="{2541AD44-3B45-4AAA-8AAF-872D237F3399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Quản lý Không có lương lễ</t>
        </r>
      </text>
    </comment>
    <comment ref="AM12" authorId="0" shapeId="0" xr:uid="{3D930384-7A8C-42C8-B86A-C0AE8B9FA1B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60%</t>
        </r>
      </text>
    </comment>
    <comment ref="O19" authorId="0" shapeId="0" xr:uid="{E92E105D-C597-487D-A8C7-5A2BF9AA1DA6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2 công kiểm kể tính thêm giờ
</t>
        </r>
      </text>
    </comment>
    <comment ref="AY23" authorId="0" shapeId="0" xr:uid="{072A7E39-9F05-4385-BA38-E104F1EC8D4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Đề nghị tính giảm trừ khi xếp loại B,C</t>
        </r>
      </text>
    </comment>
    <comment ref="D25" authorId="0" shapeId="0" xr:uid="{CBE044DB-0FF6-4136-9AD8-1A5F4EC6593F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QĐ số 8707 29/11/2024</t>
        </r>
      </text>
    </comment>
  </commentList>
</comments>
</file>

<file path=xl/sharedStrings.xml><?xml version="1.0" encoding="utf-8"?>
<sst xmlns="http://schemas.openxmlformats.org/spreadsheetml/2006/main" count="164" uniqueCount="124">
  <si>
    <t>TT</t>
  </si>
  <si>
    <t>Họ và tên</t>
  </si>
  <si>
    <t>Chức danh công việc</t>
  </si>
  <si>
    <t>Tiền lương chức danh công việc</t>
  </si>
  <si>
    <t>Các khoản phụ cấp</t>
  </si>
  <si>
    <t>Xếp loại LĐ</t>
  </si>
  <si>
    <t>Số công trong tháng hưởng lương</t>
  </si>
  <si>
    <t>Công trong tháng không hưởng lương</t>
  </si>
  <si>
    <t xml:space="preserve">Tiền lương cơ bản </t>
  </si>
  <si>
    <t>Tiền lương nghỉ lễ</t>
  </si>
  <si>
    <t>Tiền lương chất lượng được giao</t>
  </si>
  <si>
    <t>Tiền lương chất lượng đã chi theo xếp loại tháng</t>
  </si>
  <si>
    <t>Tiền lương chất lượng được giao còn chưa chi</t>
  </si>
  <si>
    <t>Họ và tên</t>
  </si>
  <si>
    <t>Công đi làm</t>
  </si>
  <si>
    <t>&lt;30 km</t>
  </si>
  <si>
    <t>≥30 km</t>
  </si>
  <si>
    <t>Công nghỉ việc riêng, tạm hoãn HĐ</t>
  </si>
  <si>
    <t>Mức lương</t>
  </si>
  <si>
    <t>Phụ cấp trách nhiệm</t>
  </si>
  <si>
    <t xml:space="preserve">Nguyễn Việt Hải </t>
  </si>
  <si>
    <t>A</t>
  </si>
  <si>
    <t>Tô Huy Lượng</t>
  </si>
  <si>
    <t>Vũ Thanh Thảo</t>
  </si>
  <si>
    <t>GV</t>
  </si>
  <si>
    <t>Dương Công Minh</t>
  </si>
  <si>
    <t>Đặng Văn Tuệ</t>
  </si>
  <si>
    <t>Nguyễn Duy Anh</t>
  </si>
  <si>
    <t>Lý Sinh Quý</t>
  </si>
  <si>
    <t>Tổng cộng</t>
  </si>
  <si>
    <t>Các khoản trừ</t>
  </si>
  <si>
    <t>PC ATVSV</t>
  </si>
  <si>
    <t>Tiền còn lĩnh sau các khoản trừ</t>
  </si>
  <si>
    <t xml:space="preserve">Công CN </t>
  </si>
  <si>
    <t>Số tiền CN</t>
  </si>
  <si>
    <t>Tổng số tiền chuyển lương và CN</t>
  </si>
  <si>
    <t>Trừ 8% BHXH</t>
  </si>
  <si>
    <t xml:space="preserve">Trừ 1,5% BHYT </t>
  </si>
  <si>
    <t>Trừ 1% BHTN</t>
  </si>
  <si>
    <t>Quỹ mái ấm công đoàn</t>
  </si>
  <si>
    <t>Trừ tiền  vay XN  TK 1388</t>
  </si>
  <si>
    <t xml:space="preserve">Trừ  tiền nhà ở, điện nước </t>
  </si>
  <si>
    <t>Trừ tiền nuôi con theo QĐ toàn án + Phí CT</t>
  </si>
  <si>
    <t>QT thuế TNCN 6T</t>
  </si>
  <si>
    <t>Cộng các khoản trừ</t>
  </si>
  <si>
    <t>Tổng thu nhập</t>
  </si>
  <si>
    <t>Trần Trọng Lưu</t>
  </si>
  <si>
    <t>Bùi Thế Luyên</t>
  </si>
  <si>
    <t>Phó PH- TK</t>
  </si>
  <si>
    <t>Nguyễn Công San</t>
  </si>
  <si>
    <t>Hệ GDTX</t>
  </si>
  <si>
    <t>Nghề khác</t>
  </si>
  <si>
    <t>Điện thoại</t>
  </si>
  <si>
    <t>Tiền lương chất lượng công việc</t>
  </si>
  <si>
    <t>TT tổ ĐTBDSC</t>
  </si>
  <si>
    <t>Thạch Quang Nguyên</t>
  </si>
  <si>
    <t>Lê Công Hải</t>
  </si>
  <si>
    <t>Đỗ Nguyên Đạt</t>
  </si>
  <si>
    <t>CNSC</t>
  </si>
  <si>
    <t>B</t>
  </si>
  <si>
    <t>Nguyễn Thị Thu Phương</t>
  </si>
  <si>
    <t>Nguyễn Hoàng Oanh</t>
  </si>
  <si>
    <t>Thực hiện cắt Polyp ở đợt khám sức khỏe</t>
  </si>
  <si>
    <t>Năm 2024</t>
  </si>
  <si>
    <t>Hà Thị Thanh Hoa</t>
  </si>
  <si>
    <t>Tham quan Hồng Kông đoàn 1</t>
  </si>
  <si>
    <t>Nhóm 1</t>
  </si>
  <si>
    <t>Tiền lương sửa chữa, Làm thêm giờ</t>
  </si>
  <si>
    <t>Tổng lương tháng 12</t>
  </si>
  <si>
    <t>Trừ thuế TNCN T12-2024</t>
  </si>
  <si>
    <t>Trừ thuế TNCN T1-2025</t>
  </si>
  <si>
    <t xml:space="preserve">   TRƯỜNG CAO ĐẲNG THAN - KHOÁNG SẢN VIỆT NAM</t>
  </si>
  <si>
    <t>KHOA CƠ KHÍ, VẬN HÀNH THIẾT BỊ MỎ, PHÂN HIỆU ĐÀO TẠO CẨM PHẢ</t>
  </si>
  <si>
    <t>Tiền lương đóng BHXH năm 2025</t>
  </si>
  <si>
    <t>Lương vượt giờ  năm 2024</t>
  </si>
  <si>
    <t>Biểu 06</t>
  </si>
  <si>
    <t>TẬP ĐOÀN CÔNG NGHIỆP THAN - KHOÁNG SẢN VIỆT NAM</t>
  </si>
  <si>
    <t>Mức tiền lương cơ bản (đ/tháng)</t>
  </si>
  <si>
    <t>Tiền lương</t>
  </si>
  <si>
    <t>Công nghỉ lễ</t>
  </si>
  <si>
    <t>Công thử việc</t>
  </si>
  <si>
    <t>Lương phép, hè, học, BD, khác( hưởng lương BHXH)</t>
  </si>
  <si>
    <t>Lương thử việc</t>
  </si>
  <si>
    <t>PC Trách nhiệm</t>
  </si>
  <si>
    <t>PC giáo viên giỏi</t>
  </si>
  <si>
    <t>Lương tuyển sinh SCN Hệ A</t>
  </si>
  <si>
    <t>Hệ A trung cấp nghề; Hệ GDTX</t>
  </si>
  <si>
    <t>Khác, 
 / Truy lĩnh nâng lương chức danh T1/2025 (+)</t>
  </si>
  <si>
    <t xml:space="preserve">Khác, 
Truy thu (-) </t>
  </si>
  <si>
    <t>Công không hưởng lương; Công nghỉ hưởng BHXH</t>
  </si>
  <si>
    <t>Các phụ cấp</t>
  </si>
  <si>
    <t xml:space="preserve">Công khác (học, kiểm kê,..)hưởng thêm giờ </t>
  </si>
  <si>
    <t>Công s/c vượt, thêm giờ</t>
  </si>
  <si>
    <t>TBM CN ô tô-VHTB</t>
  </si>
  <si>
    <t>TBM CK-TK</t>
  </si>
  <si>
    <t>BHTT năm 2025</t>
  </si>
  <si>
    <t>Công hưởng lương chức danh ( học, họp, VN,)</t>
  </si>
  <si>
    <t>Tiền lương BSTN tạm trả</t>
  </si>
  <si>
    <t>Tiền lương chức danh khác</t>
  </si>
  <si>
    <t>Lương vượt giờ  Từ T04/2025</t>
  </si>
  <si>
    <t>Lương vượt giờ  Từ T01÷3/2025</t>
  </si>
  <si>
    <t>Từ T4/2025</t>
  </si>
  <si>
    <t>Giảm trừ BSTN do xếp loại B,C</t>
  </si>
  <si>
    <t>Công khác (phép, học, họp, VN, BD, viêc riêng) hưởng lương BH</t>
  </si>
  <si>
    <t>Từ T1÷3/2025</t>
  </si>
  <si>
    <t>Trừ 0,5% ĐP công đoàn</t>
  </si>
  <si>
    <t>PC - ATV</t>
  </si>
  <si>
    <t>Tiền lương hưởng trong tháng</t>
  </si>
  <si>
    <t>(A)</t>
  </si>
  <si>
    <t>(B)</t>
  </si>
  <si>
    <t>(C)</t>
  </si>
  <si>
    <t>(27=21+…+26)</t>
  </si>
  <si>
    <t>(29=20-27+28)</t>
  </si>
  <si>
    <t>(33=29+30+32)</t>
  </si>
  <si>
    <t xml:space="preserve">                       BẢNG THANH TOÁN TIỀN LƯƠNG THÁNG 11/2025 </t>
  </si>
  <si>
    <t>(3)</t>
  </si>
  <si>
    <t>Chu Hoàng Dương</t>
  </si>
  <si>
    <t>GV thử việc</t>
  </si>
  <si>
    <t>Giờ vượt thanh toán tháng 12/2025</t>
  </si>
  <si>
    <t>Tiền lương chất lượng</t>
  </si>
  <si>
    <t>Lương còn được chi theo CLĐT  năm 2025</t>
  </si>
  <si>
    <t>Tiền lương chất lượng được phân phối lại năm 2025</t>
  </si>
  <si>
    <t>Trừ thuế TNCN T12.2025</t>
  </si>
  <si>
    <t>Trừ thuế TNCN T01.2026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</si>
</sst>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 * #,##0.0_ ;_ * \-#,##0.0_ ;_ * &quot;-&quot;??_ ;_ @_ "/>
    <numFmt numFmtId="167" formatCode="_ * #,##0.00_ ;_ * \-#,##0.00_ ;_ * &quot;-&quot;??_ ;_ @_ "/>
    <numFmt numFmtId="168" formatCode="0.0%"/>
    <numFmt numFmtId="169" formatCode="_(* #,##0_);_(* \(#,##0\);_(* &quot;-&quot;??_);_(@_)"/>
    <numFmt numFmtId="170" formatCode="_(* #,##0.0_);_(* \(#,##0.0\);_(* &quot;-&quot;??_);_(@_)"/>
    <numFmt numFmtId="171" formatCode="#,##0.0_ ;\-#,##0.0\ "/>
  </numFmts>
  <fonts count="4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  <font>
      <sz val="12"/>
      <name val=".VnTime"/>
      <family val="2"/>
    </font>
    <font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2"/>
      <name val="Times New Roman"/>
      <family val="1"/>
    </font>
    <font>
      <b/>
      <sz val="9"/>
      <color rgb="FF000000"/>
      <name val="Tahoma"/>
      <family val="2"/>
      <charset val="163"/>
    </font>
    <font>
      <sz val="9"/>
      <color rgb="FF000000"/>
      <name val="Tahoma"/>
      <family val="2"/>
      <charset val="163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name val=".VnTime"/>
      <family val="2"/>
    </font>
    <font>
      <sz val="11"/>
      <color indexed="8"/>
      <name val="Times New Roman"/>
      <family val="2"/>
    </font>
    <font>
      <sz val="10"/>
      <name val="Arial"/>
      <family val="2"/>
      <charset val="163"/>
    </font>
    <font>
      <sz val="11"/>
      <color indexed="8"/>
      <name val="Times New Roman"/>
      <family val="1"/>
    </font>
    <font>
      <sz val="12"/>
      <name val="Times New Roman"/>
      <family val="1"/>
      <charset val="163"/>
    </font>
    <font>
      <sz val="12"/>
      <color theme="1"/>
      <name val="Times New Roman"/>
      <family val="2"/>
    </font>
    <font>
      <sz val="11"/>
      <color theme="1"/>
      <name val="Times New Roman"/>
      <family val="2"/>
      <charset val="163"/>
    </font>
    <font>
      <b/>
      <u/>
      <sz val="12"/>
      <name val="Times New Roman"/>
      <family val="1"/>
    </font>
    <font>
      <sz val="10"/>
      <name val=".VnTime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0"/>
      <name val="Times New Roman"/>
      <family val="1"/>
    </font>
    <font>
      <b/>
      <sz val="9"/>
      <color indexed="81"/>
      <name val="Tahoma"/>
      <family val="2"/>
      <charset val="163"/>
    </font>
    <font>
      <sz val="12"/>
      <color rgb="FFFF000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family val="2"/>
      <charset val="163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4"/>
      <name val="Times New Roman"/>
      <family val="1"/>
    </font>
    <font>
      <sz val="8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name val="Cambria"/>
      <family val="1"/>
      <scheme val="major"/>
    </font>
    <font>
      <b/>
      <sz val="12"/>
      <name val="Cambria"/>
      <family val="2"/>
      <scheme val="major"/>
    </font>
    <font>
      <sz val="10"/>
      <name val="Cambria"/>
      <family val="1"/>
      <scheme val="major"/>
    </font>
    <font>
      <sz val="12"/>
      <color theme="0"/>
      <name val="Cambria"/>
      <family val="1"/>
      <scheme val="major"/>
    </font>
    <font>
      <sz val="11"/>
      <name val="Cambria"/>
      <family val="1"/>
      <scheme val="major"/>
    </font>
    <font>
      <sz val="9"/>
      <color rgb="FFFF0000"/>
      <name val="Times New Roman"/>
      <family val="1"/>
    </font>
    <font>
      <sz val="12"/>
      <color rgb="FFFF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1">
    <xf numFmtId="0" fontId="0" fillId="0" borderId="0"/>
    <xf numFmtId="167" fontId="3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12" fillId="0" borderId="0"/>
    <xf numFmtId="0" fontId="11" fillId="0" borderId="0"/>
    <xf numFmtId="164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3" fillId="0" borderId="0"/>
    <xf numFmtId="0" fontId="15" fillId="0" borderId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6" fillId="0" borderId="0"/>
    <xf numFmtId="0" fontId="18" fillId="0" borderId="0">
      <alignment vertical="top"/>
    </xf>
    <xf numFmtId="0" fontId="18" fillId="0" borderId="0">
      <alignment vertical="top"/>
    </xf>
    <xf numFmtId="0" fontId="11" fillId="0" borderId="0"/>
    <xf numFmtId="0" fontId="18" fillId="0" borderId="0"/>
    <xf numFmtId="164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0" fillId="0" borderId="0">
      <alignment vertical="top"/>
    </xf>
    <xf numFmtId="43" fontId="11" fillId="0" borderId="0" applyFont="0" applyFill="0" applyBorder="0" applyAlignment="0" applyProtection="0"/>
  </cellStyleXfs>
  <cellXfs count="2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3" fontId="10" fillId="2" borderId="5" xfId="1" applyNumberFormat="1" applyFont="1" applyFill="1" applyBorder="1" applyAlignment="1">
      <alignment vertical="center"/>
    </xf>
    <xf numFmtId="169" fontId="10" fillId="2" borderId="5" xfId="1" applyNumberFormat="1" applyFont="1" applyFill="1" applyBorder="1" applyAlignment="1">
      <alignment vertical="center"/>
    </xf>
    <xf numFmtId="165" fontId="10" fillId="2" borderId="5" xfId="3" applyNumberFormat="1" applyFont="1" applyFill="1" applyBorder="1" applyAlignment="1">
      <alignment horizontal="center" vertical="center"/>
    </xf>
    <xf numFmtId="165" fontId="10" fillId="2" borderId="5" xfId="3" applyNumberFormat="1" applyFont="1" applyFill="1" applyBorder="1" applyAlignment="1">
      <alignment vertical="center"/>
    </xf>
    <xf numFmtId="170" fontId="10" fillId="2" borderId="5" xfId="1" applyNumberFormat="1" applyFont="1" applyFill="1" applyBorder="1" applyAlignment="1">
      <alignment vertical="center"/>
    </xf>
    <xf numFmtId="166" fontId="10" fillId="2" borderId="5" xfId="1" applyNumberFormat="1" applyFont="1" applyFill="1" applyBorder="1" applyAlignment="1">
      <alignment vertical="center"/>
    </xf>
    <xf numFmtId="165" fontId="10" fillId="2" borderId="5" xfId="1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horizontal="center" vertical="center"/>
    </xf>
    <xf numFmtId="165" fontId="10" fillId="2" borderId="5" xfId="1" applyNumberFormat="1" applyFont="1" applyFill="1" applyBorder="1" applyAlignment="1" applyProtection="1">
      <alignment vertical="center"/>
    </xf>
    <xf numFmtId="165" fontId="27" fillId="2" borderId="5" xfId="0" applyNumberFormat="1" applyFont="1" applyFill="1" applyBorder="1" applyAlignment="1">
      <alignment horizontal="center" vertical="center"/>
    </xf>
    <xf numFmtId="167" fontId="10" fillId="2" borderId="5" xfId="1" applyFont="1" applyFill="1" applyBorder="1" applyAlignment="1">
      <alignment vertical="center"/>
    </xf>
    <xf numFmtId="165" fontId="10" fillId="2" borderId="5" xfId="1" applyNumberFormat="1" applyFont="1" applyFill="1" applyBorder="1" applyAlignment="1" applyProtection="1">
      <alignment horizontal="right" vertical="center"/>
    </xf>
    <xf numFmtId="164" fontId="10" fillId="2" borderId="5" xfId="1" applyNumberFormat="1" applyFont="1" applyFill="1" applyBorder="1" applyAlignment="1">
      <alignment vertical="center"/>
    </xf>
    <xf numFmtId="3" fontId="10" fillId="2" borderId="5" xfId="39" applyNumberFormat="1" applyFont="1" applyFill="1" applyBorder="1" applyAlignment="1">
      <alignment horizontal="right" vertical="center"/>
    </xf>
    <xf numFmtId="166" fontId="10" fillId="2" borderId="5" xfId="3" applyNumberFormat="1" applyFont="1" applyFill="1" applyBorder="1" applyAlignment="1">
      <alignment vertical="center"/>
    </xf>
    <xf numFmtId="167" fontId="10" fillId="2" borderId="5" xfId="3" applyNumberFormat="1" applyFont="1" applyFill="1" applyBorder="1" applyAlignment="1">
      <alignment vertical="center"/>
    </xf>
    <xf numFmtId="165" fontId="27" fillId="2" borderId="5" xfId="0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165" fontId="10" fillId="2" borderId="7" xfId="3" applyNumberFormat="1" applyFont="1" applyFill="1" applyBorder="1" applyAlignment="1">
      <alignment vertical="center"/>
    </xf>
    <xf numFmtId="165" fontId="10" fillId="2" borderId="7" xfId="3" applyNumberFormat="1" applyFont="1" applyFill="1" applyBorder="1" applyAlignment="1">
      <alignment horizontal="center" vertical="center"/>
    </xf>
    <xf numFmtId="164" fontId="10" fillId="2" borderId="7" xfId="1" applyNumberFormat="1" applyFont="1" applyFill="1" applyBorder="1" applyAlignment="1">
      <alignment vertical="center"/>
    </xf>
    <xf numFmtId="170" fontId="10" fillId="2" borderId="7" xfId="1" applyNumberFormat="1" applyFont="1" applyFill="1" applyBorder="1" applyAlignment="1">
      <alignment vertical="center"/>
    </xf>
    <xf numFmtId="166" fontId="10" fillId="2" borderId="7" xfId="3" applyNumberFormat="1" applyFont="1" applyFill="1" applyBorder="1" applyAlignment="1">
      <alignment vertical="center"/>
    </xf>
    <xf numFmtId="169" fontId="10" fillId="2" borderId="7" xfId="1" applyNumberFormat="1" applyFont="1" applyFill="1" applyBorder="1" applyAlignment="1">
      <alignment vertical="center"/>
    </xf>
    <xf numFmtId="3" fontId="10" fillId="2" borderId="7" xfId="0" applyNumberFormat="1" applyFont="1" applyFill="1" applyBorder="1" applyAlignment="1">
      <alignment horizontal="center" vertical="center"/>
    </xf>
    <xf numFmtId="165" fontId="10" fillId="2" borderId="7" xfId="1" applyNumberFormat="1" applyFont="1" applyFill="1" applyBorder="1" applyAlignment="1">
      <alignment vertical="center"/>
    </xf>
    <xf numFmtId="165" fontId="10" fillId="2" borderId="7" xfId="1" applyNumberFormat="1" applyFont="1" applyFill="1" applyBorder="1" applyAlignment="1" applyProtection="1">
      <alignment vertical="center"/>
    </xf>
    <xf numFmtId="165" fontId="10" fillId="2" borderId="7" xfId="1" applyNumberFormat="1" applyFont="1" applyFill="1" applyBorder="1" applyAlignment="1" applyProtection="1">
      <alignment horizontal="right" vertical="center"/>
    </xf>
    <xf numFmtId="165" fontId="27" fillId="2" borderId="7" xfId="0" applyNumberFormat="1" applyFont="1" applyFill="1" applyBorder="1" applyAlignment="1">
      <alignment vertical="center"/>
    </xf>
    <xf numFmtId="165" fontId="27" fillId="2" borderId="7" xfId="0" applyNumberFormat="1" applyFont="1" applyFill="1" applyBorder="1" applyAlignment="1">
      <alignment horizontal="center" vertical="center"/>
    </xf>
    <xf numFmtId="165" fontId="27" fillId="2" borderId="4" xfId="1" applyNumberFormat="1" applyFont="1" applyFill="1" applyBorder="1" applyAlignment="1">
      <alignment vertical="center"/>
    </xf>
    <xf numFmtId="165" fontId="30" fillId="2" borderId="4" xfId="1" applyNumberFormat="1" applyFont="1" applyFill="1" applyBorder="1" applyAlignment="1">
      <alignment vertical="center"/>
    </xf>
    <xf numFmtId="166" fontId="30" fillId="2" borderId="4" xfId="1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9" fontId="23" fillId="2" borderId="0" xfId="1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8" fontId="23" fillId="2" borderId="0" xfId="1" applyNumberFormat="1" applyFont="1" applyFill="1" applyAlignment="1">
      <alignment vertical="center"/>
    </xf>
    <xf numFmtId="165" fontId="23" fillId="2" borderId="0" xfId="0" applyNumberFormat="1" applyFont="1" applyFill="1" applyAlignment="1">
      <alignment vertical="center"/>
    </xf>
    <xf numFmtId="169" fontId="10" fillId="2" borderId="5" xfId="6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169" fontId="10" fillId="2" borderId="7" xfId="6" applyNumberFormat="1" applyFont="1" applyFill="1" applyBorder="1" applyAlignment="1">
      <alignment vertical="center"/>
    </xf>
    <xf numFmtId="0" fontId="27" fillId="2" borderId="4" xfId="0" applyFont="1" applyFill="1" applyBorder="1" applyAlignment="1">
      <alignment horizontal="center" vertical="center"/>
    </xf>
    <xf numFmtId="0" fontId="31" fillId="2" borderId="0" xfId="0" applyFont="1" applyFill="1"/>
    <xf numFmtId="165" fontId="1" fillId="2" borderId="5" xfId="1" applyNumberFormat="1" applyFont="1" applyFill="1" applyBorder="1" applyAlignment="1">
      <alignment vertical="center"/>
    </xf>
    <xf numFmtId="169" fontId="1" fillId="2" borderId="5" xfId="1" applyNumberFormat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6" fontId="19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165" fontId="7" fillId="2" borderId="0" xfId="1" applyNumberFormat="1" applyFont="1" applyFill="1" applyBorder="1" applyAlignment="1">
      <alignment vertical="center"/>
    </xf>
    <xf numFmtId="167" fontId="7" fillId="2" borderId="0" xfId="1" applyFont="1" applyFill="1" applyBorder="1" applyAlignment="1">
      <alignment vertical="center"/>
    </xf>
    <xf numFmtId="166" fontId="7" fillId="2" borderId="0" xfId="1" applyNumberFormat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34" fillId="2" borderId="16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vertical="center"/>
    </xf>
    <xf numFmtId="0" fontId="34" fillId="2" borderId="18" xfId="0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34" fillId="2" borderId="0" xfId="0" applyFont="1" applyFill="1" applyAlignment="1">
      <alignment horizontal="center" vertical="center"/>
    </xf>
    <xf numFmtId="165" fontId="34" fillId="2" borderId="0" xfId="0" applyNumberFormat="1" applyFont="1" applyFill="1" applyAlignment="1">
      <alignment vertical="center"/>
    </xf>
    <xf numFmtId="166" fontId="34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right" vertical="center"/>
    </xf>
    <xf numFmtId="165" fontId="34" fillId="2" borderId="0" xfId="1" applyNumberFormat="1" applyFont="1" applyFill="1" applyAlignment="1">
      <alignment vertical="center"/>
    </xf>
    <xf numFmtId="165" fontId="34" fillId="2" borderId="0" xfId="1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9" fontId="7" fillId="2" borderId="5" xfId="1" applyNumberFormat="1" applyFont="1" applyFill="1" applyBorder="1" applyAlignment="1">
      <alignment vertical="center"/>
    </xf>
    <xf numFmtId="3" fontId="10" fillId="2" borderId="5" xfId="2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vertical="center"/>
    </xf>
    <xf numFmtId="3" fontId="10" fillId="2" borderId="7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" fillId="2" borderId="0" xfId="0" applyFont="1" applyFill="1"/>
    <xf numFmtId="169" fontId="26" fillId="2" borderId="6" xfId="1" applyNumberFormat="1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center" vertical="center" wrapText="1"/>
    </xf>
    <xf numFmtId="165" fontId="10" fillId="2" borderId="5" xfId="7" applyNumberFormat="1" applyFont="1" applyFill="1" applyBorder="1" applyAlignment="1">
      <alignment horizontal="center" vertical="center"/>
    </xf>
    <xf numFmtId="165" fontId="10" fillId="2" borderId="5" xfId="0" applyNumberFormat="1" applyFont="1" applyFill="1" applyBorder="1" applyAlignment="1">
      <alignment vertical="center"/>
    </xf>
    <xf numFmtId="0" fontId="26" fillId="2" borderId="5" xfId="0" applyFont="1" applyFill="1" applyBorder="1" applyAlignment="1">
      <alignment horizontal="center" vertical="center"/>
    </xf>
    <xf numFmtId="165" fontId="26" fillId="2" borderId="5" xfId="1" applyNumberFormat="1" applyFont="1" applyFill="1" applyBorder="1" applyAlignment="1">
      <alignment vertical="center"/>
    </xf>
    <xf numFmtId="165" fontId="26" fillId="2" borderId="5" xfId="0" applyNumberFormat="1" applyFont="1" applyFill="1" applyBorder="1" applyAlignment="1">
      <alignment vertical="center"/>
    </xf>
    <xf numFmtId="0" fontId="26" fillId="2" borderId="5" xfId="0" applyFont="1" applyFill="1" applyBorder="1" applyAlignment="1">
      <alignment vertical="center"/>
    </xf>
    <xf numFmtId="0" fontId="26" fillId="2" borderId="7" xfId="0" applyFont="1" applyFill="1" applyBorder="1" applyAlignment="1">
      <alignment horizontal="center" vertical="center"/>
    </xf>
    <xf numFmtId="165" fontId="10" fillId="2" borderId="7" xfId="7" applyNumberFormat="1" applyFont="1" applyFill="1" applyBorder="1" applyAlignment="1">
      <alignment horizontal="center" vertical="center"/>
    </xf>
    <xf numFmtId="165" fontId="10" fillId="2" borderId="7" xfId="0" applyNumberFormat="1" applyFont="1" applyFill="1" applyBorder="1" applyAlignment="1">
      <alignment vertical="center"/>
    </xf>
    <xf numFmtId="165" fontId="26" fillId="2" borderId="7" xfId="0" applyNumberFormat="1" applyFont="1" applyFill="1" applyBorder="1" applyAlignment="1">
      <alignment vertical="center"/>
    </xf>
    <xf numFmtId="165" fontId="1" fillId="2" borderId="7" xfId="0" applyNumberFormat="1" applyFont="1" applyFill="1" applyBorder="1" applyAlignment="1">
      <alignment vertical="center"/>
    </xf>
    <xf numFmtId="169" fontId="7" fillId="2" borderId="7" xfId="1" applyNumberFormat="1" applyFont="1" applyFill="1" applyBorder="1" applyAlignment="1">
      <alignment vertical="center"/>
    </xf>
    <xf numFmtId="165" fontId="1" fillId="2" borderId="5" xfId="6" applyNumberFormat="1" applyFont="1" applyFill="1" applyBorder="1" applyAlignment="1">
      <alignment vertical="center" shrinkToFit="1"/>
    </xf>
    <xf numFmtId="169" fontId="1" fillId="2" borderId="6" xfId="1" applyNumberFormat="1" applyFont="1" applyFill="1" applyBorder="1" applyAlignment="1">
      <alignment vertical="center" wrapText="1"/>
    </xf>
    <xf numFmtId="169" fontId="1" fillId="2" borderId="6" xfId="1" applyNumberFormat="1" applyFont="1" applyFill="1" applyBorder="1" applyAlignment="1">
      <alignment horizontal="center" vertical="center"/>
    </xf>
    <xf numFmtId="169" fontId="1" fillId="2" borderId="6" xfId="1" quotePrefix="1" applyNumberFormat="1" applyFont="1" applyFill="1" applyBorder="1" applyAlignment="1">
      <alignment horizontal="center" vertical="center"/>
    </xf>
    <xf numFmtId="166" fontId="1" fillId="2" borderId="6" xfId="1" applyNumberFormat="1" applyFont="1" applyFill="1" applyBorder="1" applyAlignment="1">
      <alignment vertical="center" wrapText="1"/>
    </xf>
    <xf numFmtId="169" fontId="10" fillId="2" borderId="6" xfId="1" applyNumberFormat="1" applyFont="1" applyFill="1" applyBorder="1" applyAlignment="1">
      <alignment vertical="center" wrapText="1"/>
    </xf>
    <xf numFmtId="0" fontId="36" fillId="2" borderId="6" xfId="0" applyFont="1" applyFill="1" applyBorder="1" applyAlignment="1">
      <alignment vertical="center"/>
    </xf>
    <xf numFmtId="43" fontId="36" fillId="2" borderId="6" xfId="40" applyFont="1" applyFill="1" applyBorder="1" applyAlignment="1">
      <alignment vertical="center"/>
    </xf>
    <xf numFmtId="169" fontId="26" fillId="2" borderId="5" xfId="1" applyNumberFormat="1" applyFont="1" applyFill="1" applyBorder="1" applyAlignment="1">
      <alignment horizontal="center" vertical="center" wrapText="1"/>
    </xf>
    <xf numFmtId="169" fontId="10" fillId="2" borderId="5" xfId="1" applyNumberFormat="1" applyFont="1" applyFill="1" applyBorder="1" applyAlignment="1">
      <alignment horizontal="right" vertical="center"/>
    </xf>
    <xf numFmtId="165" fontId="1" fillId="2" borderId="7" xfId="6" applyNumberFormat="1" applyFont="1" applyFill="1" applyBorder="1" applyAlignment="1">
      <alignment vertical="center" shrinkToFi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4" fillId="2" borderId="0" xfId="0" applyFont="1" applyFill="1"/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/>
    <xf numFmtId="165" fontId="1" fillId="2" borderId="5" xfId="1" applyNumberFormat="1" applyFont="1" applyFill="1" applyBorder="1" applyAlignment="1">
      <alignment vertical="center" shrinkToFit="1"/>
    </xf>
    <xf numFmtId="165" fontId="7" fillId="2" borderId="5" xfId="1" applyNumberFormat="1" applyFont="1" applyFill="1" applyBorder="1" applyAlignment="1">
      <alignment vertical="center" shrinkToFit="1"/>
    </xf>
    <xf numFmtId="0" fontId="26" fillId="2" borderId="7" xfId="0" applyFont="1" applyFill="1" applyBorder="1" applyAlignment="1">
      <alignment vertical="center"/>
    </xf>
    <xf numFmtId="165" fontId="1" fillId="2" borderId="7" xfId="1" applyNumberFormat="1" applyFont="1" applyFill="1" applyBorder="1" applyAlignment="1">
      <alignment vertical="center" shrinkToFit="1"/>
    </xf>
    <xf numFmtId="165" fontId="7" fillId="2" borderId="7" xfId="1" applyNumberFormat="1" applyFont="1" applyFill="1" applyBorder="1" applyAlignment="1">
      <alignment vertical="center" shrinkToFit="1"/>
    </xf>
    <xf numFmtId="0" fontId="23" fillId="2" borderId="0" xfId="0" applyFont="1" applyFill="1" applyAlignment="1">
      <alignment horizontal="center" vertical="center"/>
    </xf>
    <xf numFmtId="165" fontId="23" fillId="2" borderId="0" xfId="1" applyNumberFormat="1" applyFont="1" applyFill="1" applyAlignment="1">
      <alignment vertical="center"/>
    </xf>
    <xf numFmtId="166" fontId="23" fillId="2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right" vertical="center"/>
    </xf>
    <xf numFmtId="0" fontId="37" fillId="2" borderId="0" xfId="0" applyFont="1" applyFill="1" applyAlignment="1">
      <alignment vertical="center"/>
    </xf>
    <xf numFmtId="0" fontId="38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vertical="center"/>
    </xf>
    <xf numFmtId="165" fontId="38" fillId="2" borderId="0" xfId="0" applyNumberFormat="1" applyFont="1" applyFill="1" applyAlignment="1">
      <alignment vertical="center"/>
    </xf>
    <xf numFmtId="166" fontId="38" fillId="2" borderId="0" xfId="0" applyNumberFormat="1" applyFont="1" applyFill="1" applyAlignment="1">
      <alignment horizontal="center" vertical="center"/>
    </xf>
    <xf numFmtId="0" fontId="38" fillId="2" borderId="0" xfId="0" applyFont="1" applyFill="1" applyAlignment="1">
      <alignment horizontal="right" vertical="center"/>
    </xf>
    <xf numFmtId="165" fontId="2" fillId="2" borderId="0" xfId="0" applyNumberFormat="1" applyFont="1" applyFill="1" applyAlignment="1">
      <alignment vertical="center"/>
    </xf>
    <xf numFmtId="171" fontId="30" fillId="2" borderId="4" xfId="1" applyNumberFormat="1" applyFont="1" applyFill="1" applyBorder="1" applyAlignment="1">
      <alignment vertical="center"/>
    </xf>
    <xf numFmtId="0" fontId="29" fillId="3" borderId="5" xfId="0" applyFont="1" applyFill="1" applyBorder="1" applyAlignment="1">
      <alignment horizontal="center" vertical="center"/>
    </xf>
    <xf numFmtId="0" fontId="39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center" vertical="center"/>
    </xf>
    <xf numFmtId="3" fontId="29" fillId="3" borderId="5" xfId="1" applyNumberFormat="1" applyFont="1" applyFill="1" applyBorder="1" applyAlignment="1">
      <alignment vertical="center"/>
    </xf>
    <xf numFmtId="3" fontId="29" fillId="3" borderId="5" xfId="2" applyNumberFormat="1" applyFont="1" applyFill="1" applyBorder="1" applyAlignment="1">
      <alignment horizontal="center" vertical="center"/>
    </xf>
    <xf numFmtId="165" fontId="29" fillId="3" borderId="5" xfId="7" applyNumberFormat="1" applyFont="1" applyFill="1" applyBorder="1" applyAlignment="1">
      <alignment horizontal="center" vertical="center"/>
    </xf>
    <xf numFmtId="165" fontId="29" fillId="3" borderId="5" xfId="3" applyNumberFormat="1" applyFont="1" applyFill="1" applyBorder="1" applyAlignment="1">
      <alignment horizontal="center" vertical="center"/>
    </xf>
    <xf numFmtId="165" fontId="29" fillId="3" borderId="5" xfId="3" applyNumberFormat="1" applyFont="1" applyFill="1" applyBorder="1" applyAlignment="1">
      <alignment vertical="center"/>
    </xf>
    <xf numFmtId="164" fontId="29" fillId="3" borderId="5" xfId="1" applyNumberFormat="1" applyFont="1" applyFill="1" applyBorder="1" applyAlignment="1">
      <alignment vertical="center"/>
    </xf>
    <xf numFmtId="170" fontId="29" fillId="3" borderId="5" xfId="1" applyNumberFormat="1" applyFont="1" applyFill="1" applyBorder="1" applyAlignment="1">
      <alignment vertical="center"/>
    </xf>
    <xf numFmtId="166" fontId="29" fillId="3" borderId="5" xfId="3" applyNumberFormat="1" applyFont="1" applyFill="1" applyBorder="1" applyAlignment="1">
      <alignment vertical="center"/>
    </xf>
    <xf numFmtId="167" fontId="29" fillId="3" borderId="5" xfId="3" applyNumberFormat="1" applyFont="1" applyFill="1" applyBorder="1" applyAlignment="1">
      <alignment vertical="center"/>
    </xf>
    <xf numFmtId="3" fontId="29" fillId="3" borderId="5" xfId="0" applyNumberFormat="1" applyFont="1" applyFill="1" applyBorder="1" applyAlignment="1">
      <alignment horizontal="center" vertical="center"/>
    </xf>
    <xf numFmtId="165" fontId="29" fillId="3" borderId="5" xfId="1" applyNumberFormat="1" applyFont="1" applyFill="1" applyBorder="1" applyAlignment="1">
      <alignment vertical="center"/>
    </xf>
    <xf numFmtId="165" fontId="39" fillId="3" borderId="5" xfId="1" applyNumberFormat="1" applyFont="1" applyFill="1" applyBorder="1" applyAlignment="1">
      <alignment vertical="center"/>
    </xf>
    <xf numFmtId="169" fontId="29" fillId="3" borderId="5" xfId="1" applyNumberFormat="1" applyFont="1" applyFill="1" applyBorder="1" applyAlignment="1">
      <alignment vertical="center"/>
    </xf>
    <xf numFmtId="165" fontId="29" fillId="3" borderId="5" xfId="1" applyNumberFormat="1" applyFont="1" applyFill="1" applyBorder="1" applyAlignment="1" applyProtection="1">
      <alignment vertical="center"/>
    </xf>
    <xf numFmtId="169" fontId="29" fillId="3" borderId="5" xfId="6" applyNumberFormat="1" applyFont="1" applyFill="1" applyBorder="1" applyAlignment="1">
      <alignment vertical="center"/>
    </xf>
    <xf numFmtId="165" fontId="29" fillId="3" borderId="5" xfId="1" applyNumberFormat="1" applyFont="1" applyFill="1" applyBorder="1" applyAlignment="1" applyProtection="1">
      <alignment horizontal="right" vertical="center"/>
    </xf>
    <xf numFmtId="165" fontId="30" fillId="3" borderId="5" xfId="0" applyNumberFormat="1" applyFont="1" applyFill="1" applyBorder="1" applyAlignment="1">
      <alignment horizontal="center" vertical="center"/>
    </xf>
    <xf numFmtId="165" fontId="29" fillId="3" borderId="5" xfId="0" applyNumberFormat="1" applyFont="1" applyFill="1" applyBorder="1" applyAlignment="1">
      <alignment vertical="center"/>
    </xf>
    <xf numFmtId="165" fontId="25" fillId="3" borderId="5" xfId="1" applyNumberFormat="1" applyFont="1" applyFill="1" applyBorder="1" applyAlignment="1">
      <alignment vertical="center"/>
    </xf>
    <xf numFmtId="169" fontId="33" fillId="3" borderId="5" xfId="1" applyNumberFormat="1" applyFont="1" applyFill="1" applyBorder="1" applyAlignment="1">
      <alignment vertical="center"/>
    </xf>
    <xf numFmtId="165" fontId="25" fillId="3" borderId="5" xfId="6" applyNumberFormat="1" applyFont="1" applyFill="1" applyBorder="1" applyAlignment="1">
      <alignment vertical="center" shrinkToFit="1"/>
    </xf>
    <xf numFmtId="165" fontId="25" fillId="3" borderId="5" xfId="1" applyNumberFormat="1" applyFont="1" applyFill="1" applyBorder="1" applyAlignment="1">
      <alignment vertical="center" shrinkToFit="1"/>
    </xf>
    <xf numFmtId="165" fontId="33" fillId="3" borderId="5" xfId="1" applyNumberFormat="1" applyFont="1" applyFill="1" applyBorder="1" applyAlignment="1">
      <alignment vertical="center" shrinkToFit="1"/>
    </xf>
    <xf numFmtId="0" fontId="40" fillId="3" borderId="17" xfId="0" applyFont="1" applyFill="1" applyBorder="1" applyAlignment="1">
      <alignment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textRotation="90" wrapText="1"/>
    </xf>
    <xf numFmtId="0" fontId="26" fillId="2" borderId="4" xfId="0" applyFont="1" applyFill="1" applyBorder="1" applyAlignment="1">
      <alignment horizontal="center" vertical="center" textRotation="90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166" fontId="2" fillId="2" borderId="9" xfId="0" applyNumberFormat="1" applyFont="1" applyFill="1" applyBorder="1" applyAlignment="1">
      <alignment horizontal="center" vertical="center" wrapText="1"/>
    </xf>
    <xf numFmtId="166" fontId="2" fillId="2" borderId="10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 textRotation="90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 shrinkToFit="1"/>
    </xf>
    <xf numFmtId="165" fontId="7" fillId="2" borderId="5" xfId="1" applyNumberFormat="1" applyFont="1" applyFill="1" applyBorder="1" applyAlignment="1">
      <alignment horizontal="center" vertical="center" wrapText="1" shrinkToFit="1"/>
    </xf>
    <xf numFmtId="165" fontId="7" fillId="2" borderId="21" xfId="1" applyNumberFormat="1" applyFont="1" applyFill="1" applyBorder="1" applyAlignment="1">
      <alignment horizontal="center" vertical="center" wrapText="1" shrinkToFit="1"/>
    </xf>
    <xf numFmtId="165" fontId="7" fillId="2" borderId="6" xfId="1" applyNumberFormat="1" applyFont="1" applyFill="1" applyBorder="1" applyAlignment="1">
      <alignment horizontal="center" vertical="center" shrinkToFit="1"/>
    </xf>
    <xf numFmtId="165" fontId="7" fillId="2" borderId="5" xfId="1" applyNumberFormat="1" applyFont="1" applyFill="1" applyBorder="1" applyAlignment="1">
      <alignment horizontal="center" vertical="center" shrinkToFit="1"/>
    </xf>
    <xf numFmtId="165" fontId="7" fillId="2" borderId="21" xfId="1" applyNumberFormat="1" applyFont="1" applyFill="1" applyBorder="1" applyAlignment="1">
      <alignment horizontal="center" vertical="center" shrinkToFit="1"/>
    </xf>
    <xf numFmtId="165" fontId="7" fillId="2" borderId="1" xfId="1" applyNumberFormat="1" applyFont="1" applyFill="1" applyBorder="1" applyAlignment="1">
      <alignment horizontal="center" vertical="center" shrinkToFit="1"/>
    </xf>
  </cellXfs>
  <cellStyles count="41">
    <cellStyle name="Bình thường 6" xfId="5" xr:uid="{00000000-0005-0000-0000-000000000000}"/>
    <cellStyle name="Comma" xfId="40" builtinId="3"/>
    <cellStyle name="Comma 10" xfId="38" xr:uid="{00000000-0005-0000-0000-000001000000}"/>
    <cellStyle name="Comma 11" xfId="6" xr:uid="{00000000-0005-0000-0000-000002000000}"/>
    <cellStyle name="Comma 2" xfId="1" xr:uid="{00000000-0005-0000-0000-000003000000}"/>
    <cellStyle name="Comma 2 2" xfId="3" xr:uid="{00000000-0005-0000-0000-000004000000}"/>
    <cellStyle name="Comma 2 2 2" xfId="7" xr:uid="{00000000-0005-0000-0000-000005000000}"/>
    <cellStyle name="Comma 2 2 2 2" xfId="8" xr:uid="{00000000-0005-0000-0000-000006000000}"/>
    <cellStyle name="Comma 2 2 2 2 2" xfId="31" xr:uid="{00000000-0005-0000-0000-000007000000}"/>
    <cellStyle name="Comma 2 2 2 3" xfId="30" xr:uid="{00000000-0005-0000-0000-000008000000}"/>
    <cellStyle name="Comma 2_Thanh toan coi cham thi thang 6 nam 2011" xfId="9" xr:uid="{00000000-0005-0000-0000-000009000000}"/>
    <cellStyle name="Comma 3" xfId="10" xr:uid="{00000000-0005-0000-0000-00000A000000}"/>
    <cellStyle name="Comma 3 2" xfId="11" xr:uid="{00000000-0005-0000-0000-00000B000000}"/>
    <cellStyle name="Comma 3 2 2" xfId="32" xr:uid="{00000000-0005-0000-0000-00000C000000}"/>
    <cellStyle name="Comma 4" xfId="12" xr:uid="{00000000-0005-0000-0000-00000D000000}"/>
    <cellStyle name="Comma 4 2" xfId="33" xr:uid="{00000000-0005-0000-0000-00000E000000}"/>
    <cellStyle name="Comma 5" xfId="29" xr:uid="{00000000-0005-0000-0000-00000F000000}"/>
    <cellStyle name="Comma 6" xfId="36" xr:uid="{00000000-0005-0000-0000-000010000000}"/>
    <cellStyle name="Comma 7" xfId="13" xr:uid="{00000000-0005-0000-0000-000011000000}"/>
    <cellStyle name="Comma 7 2" xfId="14" xr:uid="{00000000-0005-0000-0000-000012000000}"/>
    <cellStyle name="Comma 7 2 2" xfId="34" xr:uid="{00000000-0005-0000-0000-000013000000}"/>
    <cellStyle name="Comma 8" xfId="28" xr:uid="{00000000-0005-0000-0000-000014000000}"/>
    <cellStyle name="Comma 8 2" xfId="37" xr:uid="{00000000-0005-0000-0000-000015000000}"/>
    <cellStyle name="Comma 9" xfId="15" xr:uid="{00000000-0005-0000-0000-000016000000}"/>
    <cellStyle name="Comma 9 2" xfId="16" xr:uid="{00000000-0005-0000-0000-000017000000}"/>
    <cellStyle name="Comma 9 2 2" xfId="35" xr:uid="{00000000-0005-0000-0000-000018000000}"/>
    <cellStyle name="Normal" xfId="0" builtinId="0"/>
    <cellStyle name="Normal 101" xfId="26" xr:uid="{00000000-0005-0000-0000-00001A000000}"/>
    <cellStyle name="Normal 110" xfId="23" xr:uid="{00000000-0005-0000-0000-00001B000000}"/>
    <cellStyle name="Normal 114" xfId="27" xr:uid="{00000000-0005-0000-0000-00001C000000}"/>
    <cellStyle name="Normal 126" xfId="25" xr:uid="{00000000-0005-0000-0000-00001D000000}"/>
    <cellStyle name="Normal 13 2" xfId="24" xr:uid="{00000000-0005-0000-0000-00001E000000}"/>
    <cellStyle name="Normal 2" xfId="17" xr:uid="{00000000-0005-0000-0000-00001F000000}"/>
    <cellStyle name="Normal 3" xfId="2" xr:uid="{00000000-0005-0000-0000-000020000000}"/>
    <cellStyle name="Normal 4" xfId="18" xr:uid="{00000000-0005-0000-0000-000021000000}"/>
    <cellStyle name="Normal 41" xfId="22" xr:uid="{00000000-0005-0000-0000-000022000000}"/>
    <cellStyle name="Normal 5" xfId="19" xr:uid="{00000000-0005-0000-0000-000023000000}"/>
    <cellStyle name="Normal 59" xfId="21" xr:uid="{00000000-0005-0000-0000-000024000000}"/>
    <cellStyle name="Normal 6" xfId="4" xr:uid="{00000000-0005-0000-0000-000025000000}"/>
    <cellStyle name="Normal_CT HSSV - PHCP KK (OK)" xfId="39" xr:uid="{00000000-0005-0000-0000-000026000000}"/>
    <cellStyle name="Percent 3" xfId="20" xr:uid="{00000000-0005-0000-0000-00002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742604</xdr:colOff>
      <xdr:row>2</xdr:row>
      <xdr:rowOff>23355</xdr:rowOff>
    </xdr:from>
    <xdr:to>
      <xdr:col>3</xdr:col>
      <xdr:colOff>242257</xdr:colOff>
      <xdr:row>2</xdr:row>
      <xdr:rowOff>26323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0740FE5-E1BE-4B78-B17A-298195148A26}"/>
            </a:ext>
          </a:extLst>
        </xdr:cNvPr>
        <xdr:cNvCxnSpPr/>
      </xdr:nvCxnSpPr>
      <xdr:spPr>
        <a:xfrm flipV="1">
          <a:off x="1032164" y="419595"/>
          <a:ext cx="1488473" cy="296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AppData\Local\Temp\Zalo%20Temp\TempDownloads\6.%20L&#432;&#417;ng%20T12-2025%20CK&amp;VHTBM(Hai).xlsx" TargetMode="External"/><Relationship Id="rId1" Type="http://schemas.openxmlformats.org/officeDocument/2006/relationships/externalLinkPath" Target="file:///C:\Users\DELL\AppData\Local\Temp\Zalo%20Temp\TempDownloads\6.%20L&#432;&#417;ng%20T12-2025%20CK&amp;VHTBM(Hai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xz"/>
      <sheetName val="TS T1-2022"/>
      <sheetName val="DT ngắn hạn"/>
      <sheetName val="DS xác nhận TS Hệ A"/>
      <sheetName val="1. theo dõi GG"/>
      <sheetName val="2. Tổng hợp GG"/>
      <sheetName val="3. Chấm công"/>
      <sheetName val="4. GVCN"/>
      <sheetName val="PCPN"/>
      <sheetName val="5. Coi chấm thi"/>
      <sheetName val="6. THKH tháng"/>
      <sheetName val="7. Thanh toán vượt giờ"/>
      <sheetName val="8. BC giờ giảng"/>
      <sheetName val="9. Ăn ca"/>
      <sheetName val="10. Điện thoại"/>
      <sheetName val="11. Xếp loại"/>
      <sheetName val="12. Tuyển sinh"/>
      <sheetName val="13. Lương"/>
      <sheetName val="Công sc tháng 11 (k in)"/>
      <sheetName val="Công sc t11 trả 12 (k in)"/>
      <sheetName val="Công sc t12 (k in) (2)"/>
      <sheetName val="TH XLCL chưa chi (k in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AH8">
            <v>23</v>
          </cell>
          <cell r="AI8">
            <v>0</v>
          </cell>
          <cell r="AJ8">
            <v>0</v>
          </cell>
          <cell r="AL8">
            <v>0</v>
          </cell>
          <cell r="AP8">
            <v>0</v>
          </cell>
          <cell r="AT8">
            <v>0</v>
          </cell>
        </row>
        <row r="9">
          <cell r="AI9">
            <v>0</v>
          </cell>
          <cell r="AL9">
            <v>0</v>
          </cell>
          <cell r="AP9">
            <v>0</v>
          </cell>
          <cell r="AR9">
            <v>23</v>
          </cell>
          <cell r="AT9">
            <v>62</v>
          </cell>
        </row>
        <row r="10"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P10">
            <v>0</v>
          </cell>
          <cell r="AR10">
            <v>23</v>
          </cell>
          <cell r="AT10">
            <v>68</v>
          </cell>
        </row>
        <row r="11">
          <cell r="AI11">
            <v>0</v>
          </cell>
          <cell r="AK11">
            <v>0</v>
          </cell>
          <cell r="AL11">
            <v>0</v>
          </cell>
          <cell r="AO11">
            <v>62</v>
          </cell>
          <cell r="AP11">
            <v>0</v>
          </cell>
          <cell r="AR11">
            <v>23</v>
          </cell>
        </row>
        <row r="13"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P13">
            <v>0</v>
          </cell>
          <cell r="AR13">
            <v>23</v>
          </cell>
          <cell r="AT13">
            <v>62</v>
          </cell>
        </row>
        <row r="14">
          <cell r="AI14">
            <v>0</v>
          </cell>
          <cell r="AK14">
            <v>0</v>
          </cell>
          <cell r="AL14">
            <v>0</v>
          </cell>
          <cell r="AP14">
            <v>0</v>
          </cell>
          <cell r="AR14">
            <v>23</v>
          </cell>
          <cell r="AT14">
            <v>62</v>
          </cell>
        </row>
        <row r="15"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P15">
            <v>0</v>
          </cell>
          <cell r="AR15">
            <v>23</v>
          </cell>
          <cell r="AT15">
            <v>52.25</v>
          </cell>
        </row>
        <row r="16"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P16">
            <v>0</v>
          </cell>
          <cell r="AR16">
            <v>23</v>
          </cell>
          <cell r="AT16">
            <v>62</v>
          </cell>
        </row>
        <row r="17"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P17">
            <v>0</v>
          </cell>
          <cell r="AR17">
            <v>23</v>
          </cell>
          <cell r="AT17">
            <v>49.25</v>
          </cell>
        </row>
        <row r="18"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P18">
            <v>0</v>
          </cell>
          <cell r="AR18">
            <v>23</v>
          </cell>
          <cell r="AT18">
            <v>0</v>
          </cell>
        </row>
        <row r="19"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P19">
            <v>0</v>
          </cell>
          <cell r="AR19">
            <v>23</v>
          </cell>
          <cell r="AT19">
            <v>0</v>
          </cell>
        </row>
        <row r="20"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P20">
            <v>0</v>
          </cell>
          <cell r="AR20">
            <v>23</v>
          </cell>
          <cell r="AT20">
            <v>0</v>
          </cell>
        </row>
        <row r="21">
          <cell r="AI21">
            <v>0</v>
          </cell>
          <cell r="AJ21">
            <v>0</v>
          </cell>
          <cell r="AR21">
            <v>23</v>
          </cell>
          <cell r="AT21">
            <v>0</v>
          </cell>
        </row>
        <row r="22">
          <cell r="AI22">
            <v>0</v>
          </cell>
          <cell r="AJ22">
            <v>0</v>
          </cell>
          <cell r="AK22">
            <v>0</v>
          </cell>
          <cell r="AP22">
            <v>0</v>
          </cell>
          <cell r="AR22">
            <v>23</v>
          </cell>
          <cell r="AT22">
            <v>52.25</v>
          </cell>
        </row>
        <row r="23">
          <cell r="AI23">
            <v>0</v>
          </cell>
          <cell r="AJ23">
            <v>0</v>
          </cell>
          <cell r="AK23">
            <v>0</v>
          </cell>
          <cell r="AP23">
            <v>0</v>
          </cell>
          <cell r="AR23">
            <v>23</v>
          </cell>
          <cell r="AT23">
            <v>52.25</v>
          </cell>
        </row>
        <row r="24"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P24">
            <v>0</v>
          </cell>
          <cell r="AR24">
            <v>23</v>
          </cell>
          <cell r="AT24">
            <v>52.25</v>
          </cell>
        </row>
      </sheetData>
      <sheetData sheetId="7"/>
      <sheetData sheetId="8" refreshError="1"/>
      <sheetData sheetId="9"/>
      <sheetData sheetId="10">
        <row r="16">
          <cell r="BI16">
            <v>0</v>
          </cell>
          <cell r="BJ16">
            <v>0</v>
          </cell>
        </row>
        <row r="17">
          <cell r="BG17">
            <v>0</v>
          </cell>
          <cell r="BI17">
            <v>0</v>
          </cell>
          <cell r="BJ17">
            <v>0</v>
          </cell>
          <cell r="BK17">
            <v>63.199999999999989</v>
          </cell>
          <cell r="BL17">
            <v>0</v>
          </cell>
        </row>
        <row r="18">
          <cell r="BI18">
            <v>0</v>
          </cell>
          <cell r="BJ18">
            <v>0</v>
          </cell>
          <cell r="BK18">
            <v>90.133333333333326</v>
          </cell>
          <cell r="BL18">
            <v>0</v>
          </cell>
        </row>
        <row r="19">
          <cell r="BI19">
            <v>0</v>
          </cell>
          <cell r="BJ19">
            <v>0</v>
          </cell>
        </row>
        <row r="20">
          <cell r="BG20">
            <v>0</v>
          </cell>
          <cell r="BI20">
            <v>0</v>
          </cell>
          <cell r="BJ20">
            <v>0</v>
          </cell>
          <cell r="BK20">
            <v>102.6</v>
          </cell>
          <cell r="BL20">
            <v>0</v>
          </cell>
        </row>
        <row r="21">
          <cell r="BI21">
            <v>0</v>
          </cell>
          <cell r="BJ21">
            <v>0</v>
          </cell>
          <cell r="BK21">
            <v>6.1333333333333329</v>
          </cell>
          <cell r="BL21">
            <v>0</v>
          </cell>
        </row>
        <row r="22">
          <cell r="BI22">
            <v>0</v>
          </cell>
          <cell r="BJ22">
            <v>0</v>
          </cell>
          <cell r="BK22">
            <v>58.1</v>
          </cell>
        </row>
        <row r="23">
          <cell r="BG23">
            <v>0</v>
          </cell>
          <cell r="BI23">
            <v>0</v>
          </cell>
          <cell r="BJ23">
            <v>0</v>
          </cell>
          <cell r="BK23">
            <v>1.4666666666666686</v>
          </cell>
          <cell r="BL23">
            <v>0</v>
          </cell>
        </row>
        <row r="24">
          <cell r="BG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</row>
        <row r="28">
          <cell r="BI28">
            <v>0</v>
          </cell>
          <cell r="BJ28">
            <v>0</v>
          </cell>
          <cell r="BK28">
            <v>88.1</v>
          </cell>
        </row>
        <row r="29">
          <cell r="BG29">
            <v>0</v>
          </cell>
          <cell r="BI29">
            <v>0</v>
          </cell>
          <cell r="BJ29">
            <v>0</v>
          </cell>
          <cell r="BK29">
            <v>0.56666666666666288</v>
          </cell>
          <cell r="BL29">
            <v>0</v>
          </cell>
        </row>
        <row r="30">
          <cell r="BI30">
            <v>35.400000000000006</v>
          </cell>
          <cell r="BJ30">
            <v>0</v>
          </cell>
          <cell r="BK30">
            <v>65.666666666666657</v>
          </cell>
          <cell r="BL30">
            <v>0</v>
          </cell>
        </row>
        <row r="32">
          <cell r="BK32">
            <v>94</v>
          </cell>
          <cell r="BL32">
            <v>0</v>
          </cell>
        </row>
        <row r="33">
          <cell r="BK33">
            <v>15.266666666666666</v>
          </cell>
          <cell r="BL33">
            <v>0</v>
          </cell>
        </row>
        <row r="34">
          <cell r="BI34">
            <v>0</v>
          </cell>
          <cell r="BJ34">
            <v>0</v>
          </cell>
        </row>
        <row r="35">
          <cell r="BG35">
            <v>0</v>
          </cell>
          <cell r="BI35">
            <v>0</v>
          </cell>
          <cell r="BJ35">
            <v>0</v>
          </cell>
          <cell r="BK35">
            <v>12.799999999999997</v>
          </cell>
          <cell r="BL35">
            <v>0</v>
          </cell>
        </row>
        <row r="36">
          <cell r="BI36">
            <v>0</v>
          </cell>
          <cell r="BJ36">
            <v>0</v>
          </cell>
          <cell r="BK36">
            <v>8</v>
          </cell>
          <cell r="BL36">
            <v>0</v>
          </cell>
        </row>
        <row r="37">
          <cell r="BI37">
            <v>0</v>
          </cell>
          <cell r="BJ37">
            <v>0</v>
          </cell>
          <cell r="BK37">
            <v>0</v>
          </cell>
        </row>
        <row r="38">
          <cell r="BG38">
            <v>0</v>
          </cell>
          <cell r="BI38">
            <v>0</v>
          </cell>
          <cell r="BJ38">
            <v>0</v>
          </cell>
          <cell r="BK38">
            <v>19.799999999999997</v>
          </cell>
          <cell r="BL38">
            <v>0</v>
          </cell>
        </row>
        <row r="39">
          <cell r="BG39">
            <v>0</v>
          </cell>
          <cell r="BI39">
            <v>0</v>
          </cell>
          <cell r="BJ39">
            <v>0</v>
          </cell>
          <cell r="BK39">
            <v>30</v>
          </cell>
          <cell r="BL39">
            <v>0</v>
          </cell>
        </row>
        <row r="40">
          <cell r="BI40">
            <v>0</v>
          </cell>
          <cell r="BJ40">
            <v>0</v>
          </cell>
        </row>
        <row r="41">
          <cell r="BG41">
            <v>0</v>
          </cell>
          <cell r="BI41">
            <v>0</v>
          </cell>
          <cell r="BJ41">
            <v>0</v>
          </cell>
          <cell r="BK41">
            <v>16</v>
          </cell>
          <cell r="BL41">
            <v>0</v>
          </cell>
        </row>
        <row r="42">
          <cell r="BG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</row>
        <row r="43">
          <cell r="BI43">
            <v>0</v>
          </cell>
          <cell r="BJ43">
            <v>0</v>
          </cell>
        </row>
        <row r="44">
          <cell r="BG44">
            <v>0</v>
          </cell>
          <cell r="BI44">
            <v>0</v>
          </cell>
          <cell r="BJ44">
            <v>0</v>
          </cell>
          <cell r="BK44">
            <v>59</v>
          </cell>
          <cell r="BL44">
            <v>0</v>
          </cell>
        </row>
        <row r="45">
          <cell r="BG45">
            <v>0</v>
          </cell>
          <cell r="BI45">
            <v>0</v>
          </cell>
          <cell r="BJ45">
            <v>0</v>
          </cell>
          <cell r="BK45">
            <v>22.5</v>
          </cell>
          <cell r="BL45">
            <v>0</v>
          </cell>
        </row>
        <row r="46">
          <cell r="BI46">
            <v>0</v>
          </cell>
          <cell r="BJ46">
            <v>0</v>
          </cell>
        </row>
        <row r="47">
          <cell r="BG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</row>
        <row r="48">
          <cell r="BG48">
            <v>0</v>
          </cell>
          <cell r="BI48">
            <v>0</v>
          </cell>
          <cell r="BJ48">
            <v>0</v>
          </cell>
          <cell r="BK48">
            <v>112.38333333333333</v>
          </cell>
          <cell r="BL48">
            <v>0</v>
          </cell>
        </row>
        <row r="49">
          <cell r="BI49">
            <v>0</v>
          </cell>
          <cell r="BJ49">
            <v>0</v>
          </cell>
        </row>
        <row r="50">
          <cell r="BG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</row>
        <row r="51">
          <cell r="BG51">
            <v>0</v>
          </cell>
          <cell r="BI51">
            <v>0</v>
          </cell>
          <cell r="BJ51">
            <v>0</v>
          </cell>
          <cell r="BK51">
            <v>110.28333333333333</v>
          </cell>
          <cell r="BL51">
            <v>0</v>
          </cell>
        </row>
        <row r="53">
          <cell r="BL53">
            <v>0</v>
          </cell>
        </row>
        <row r="54">
          <cell r="BL54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9">
          <cell r="E9" t="str">
            <v>A</v>
          </cell>
        </row>
        <row r="10">
          <cell r="E10" t="str">
            <v>A</v>
          </cell>
        </row>
        <row r="11">
          <cell r="E11" t="str">
            <v>A</v>
          </cell>
        </row>
        <row r="12">
          <cell r="E12" t="str">
            <v>A</v>
          </cell>
        </row>
        <row r="13">
          <cell r="E13" t="str">
            <v>A</v>
          </cell>
        </row>
        <row r="15">
          <cell r="E15" t="str">
            <v>A</v>
          </cell>
        </row>
        <row r="16">
          <cell r="E16" t="str">
            <v>A</v>
          </cell>
        </row>
        <row r="17">
          <cell r="E17" t="str">
            <v>A</v>
          </cell>
        </row>
        <row r="18">
          <cell r="E18" t="str">
            <v>A</v>
          </cell>
        </row>
        <row r="21">
          <cell r="E21" t="str">
            <v>A</v>
          </cell>
        </row>
        <row r="22">
          <cell r="E22" t="str">
            <v>A</v>
          </cell>
        </row>
        <row r="23">
          <cell r="E23" t="str">
            <v>A</v>
          </cell>
        </row>
        <row r="24">
          <cell r="E24" t="str">
            <v>A</v>
          </cell>
        </row>
      </sheetData>
      <sheetData sheetId="16"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4">
          <cell r="O14">
            <v>0</v>
          </cell>
        </row>
        <row r="15">
          <cell r="O15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1CE8-4CEB-4BD8-B4D8-2E8E41CE764C}">
  <sheetPr>
    <pageSetUpPr fitToPage="1"/>
  </sheetPr>
  <dimension ref="A1:CJ47"/>
  <sheetViews>
    <sheetView tabSelected="1" workbookViewId="0">
      <pane xSplit="2" ySplit="10" topLeftCell="BJ21" activePane="bottomRight" state="frozen"/>
      <selection pane="topRight" activeCell="C1" sqref="C1"/>
      <selection pane="bottomLeft" activeCell="A12" sqref="A12"/>
      <selection pane="bottomRight" activeCell="BM1" sqref="BM1:CL1048576"/>
    </sheetView>
  </sheetViews>
  <sheetFormatPr defaultColWidth="5.6640625" defaultRowHeight="15"/>
  <cols>
    <col min="1" max="1" width="4.33203125" style="68" customWidth="1"/>
    <col min="2" max="2" width="20" style="62" customWidth="1"/>
    <col min="3" max="3" width="9" style="62" customWidth="1"/>
    <col min="4" max="4" width="13.33203125" style="62" customWidth="1"/>
    <col min="5" max="5" width="10" style="62" customWidth="1"/>
    <col min="6" max="6" width="11.6640625" style="62" customWidth="1"/>
    <col min="7" max="7" width="11.88671875" style="62" customWidth="1"/>
    <col min="8" max="8" width="10.44140625" style="62" customWidth="1"/>
    <col min="9" max="9" width="7.44140625" style="69" customWidth="1"/>
    <col min="10" max="10" width="7.6640625" style="68" customWidth="1"/>
    <col min="11" max="11" width="7.33203125" style="68" hidden="1" customWidth="1"/>
    <col min="12" max="12" width="14.6640625" style="68" hidden="1" customWidth="1"/>
    <col min="13" max="13" width="9.88671875" style="68" hidden="1" customWidth="1"/>
    <col min="14" max="14" width="6" style="68" customWidth="1"/>
    <col min="15" max="15" width="7.44140625" style="68" hidden="1" customWidth="1"/>
    <col min="16" max="16" width="9.6640625" style="68" customWidth="1"/>
    <col min="17" max="18" width="16" style="68" hidden="1" customWidth="1"/>
    <col min="19" max="19" width="12.33203125" style="68" hidden="1" customWidth="1"/>
    <col min="20" max="27" width="16" style="70" hidden="1" customWidth="1"/>
    <col min="28" max="28" width="6.88671875" style="70" customWidth="1"/>
    <col min="29" max="29" width="7.44140625" style="70" hidden="1" customWidth="1"/>
    <col min="30" max="30" width="7.6640625" style="70" customWidth="1"/>
    <col min="31" max="31" width="9.33203125" style="70" hidden="1" customWidth="1"/>
    <col min="32" max="32" width="7.109375" style="70" customWidth="1"/>
    <col min="33" max="33" width="8.44140625" style="70" hidden="1" customWidth="1"/>
    <col min="34" max="34" width="7.5546875" style="70" customWidth="1"/>
    <col min="35" max="35" width="9" style="70" hidden="1" customWidth="1"/>
    <col min="36" max="36" width="11.6640625" style="62" customWidth="1"/>
    <col min="37" max="37" width="12.6640625" style="62" customWidth="1"/>
    <col min="38" max="38" width="10.33203125" style="62" hidden="1" customWidth="1"/>
    <col min="39" max="40" width="16" style="62" hidden="1" customWidth="1"/>
    <col min="41" max="41" width="10.5546875" style="62" hidden="1" customWidth="1"/>
    <col min="42" max="42" width="11.5546875" style="62" customWidth="1"/>
    <col min="43" max="43" width="13" style="62" customWidth="1"/>
    <col min="44" max="44" width="16" style="62" hidden="1" customWidth="1"/>
    <col min="45" max="45" width="11.5546875" style="62" customWidth="1"/>
    <col min="46" max="46" width="10.5546875" style="62" hidden="1" customWidth="1"/>
    <col min="47" max="47" width="10.109375" style="62" customWidth="1"/>
    <col min="48" max="50" width="16" style="62" hidden="1" customWidth="1"/>
    <col min="51" max="51" width="11.44140625" style="62" hidden="1" customWidth="1"/>
    <col min="52" max="52" width="11.5546875" style="71" customWidth="1"/>
    <col min="53" max="53" width="16" style="62" hidden="1" customWidth="1"/>
    <col min="54" max="55" width="10.33203125" style="62" hidden="1" customWidth="1"/>
    <col min="56" max="57" width="16" style="62" hidden="1" customWidth="1"/>
    <col min="58" max="58" width="13.109375" style="68" customWidth="1"/>
    <col min="59" max="59" width="12.33203125" style="62" hidden="1" customWidth="1"/>
    <col min="60" max="61" width="12.5546875" style="62" hidden="1" customWidth="1"/>
    <col min="62" max="62" width="14" style="62" customWidth="1"/>
    <col min="63" max="63" width="10.6640625" style="62" hidden="1" customWidth="1"/>
    <col min="64" max="64" width="14.5546875" style="62" customWidth="1"/>
    <col min="65" max="65" width="10.88671875" style="2" customWidth="1"/>
    <col min="66" max="66" width="10.5546875" style="2" customWidth="1"/>
    <col min="67" max="67" width="10" style="2" customWidth="1"/>
    <col min="68" max="68" width="9.109375" style="2" customWidth="1"/>
    <col min="69" max="69" width="10" style="2" hidden="1" customWidth="1"/>
    <col min="70" max="70" width="12.33203125" style="2" hidden="1" customWidth="1"/>
    <col min="71" max="71" width="15" style="2" hidden="1" customWidth="1"/>
    <col min="72" max="72" width="10.88671875" style="2" hidden="1" customWidth="1"/>
    <col min="73" max="73" width="17.6640625" style="2" hidden="1" customWidth="1"/>
    <col min="74" max="74" width="11.6640625" style="2" hidden="1" customWidth="1"/>
    <col min="75" max="75" width="16.6640625" style="2" hidden="1" customWidth="1"/>
    <col min="76" max="76" width="10.88671875" style="2" hidden="1" customWidth="1"/>
    <col min="77" max="77" width="9.88671875" style="2" customWidth="1"/>
    <col min="78" max="78" width="14.33203125" style="2" hidden="1" customWidth="1"/>
    <col min="79" max="79" width="12.33203125" style="2" customWidth="1"/>
    <col min="80" max="80" width="11.88671875" style="2" customWidth="1"/>
    <col min="81" max="81" width="10.88671875" style="2" customWidth="1"/>
    <col min="82" max="82" width="8.109375" style="2" customWidth="1"/>
    <col min="83" max="83" width="10.88671875" style="2" hidden="1" customWidth="1"/>
    <col min="84" max="84" width="13.6640625" style="2" customWidth="1"/>
    <col min="85" max="85" width="10.44140625" style="2" customWidth="1"/>
    <col min="86" max="86" width="6.44140625" style="2" customWidth="1"/>
    <col min="87" max="87" width="13.6640625" style="2" customWidth="1"/>
    <col min="88" max="88" width="13.44140625" style="2" customWidth="1"/>
    <col min="89" max="16384" width="5.6640625" style="62"/>
  </cols>
  <sheetData>
    <row r="1" spans="1:88" ht="15.6">
      <c r="A1" s="37" t="s">
        <v>76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1"/>
      <c r="R1" s="41"/>
      <c r="S1" s="41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9"/>
      <c r="BA1" s="1"/>
      <c r="BB1" s="1"/>
      <c r="BC1" s="1"/>
      <c r="BD1" s="1"/>
      <c r="BE1" s="37"/>
      <c r="BF1" s="1"/>
      <c r="BG1" s="37"/>
      <c r="BH1" s="37"/>
      <c r="BI1" s="37"/>
      <c r="BJ1" s="37"/>
      <c r="BK1" s="37"/>
      <c r="BL1" s="37"/>
      <c r="CI1" s="41" t="s">
        <v>75</v>
      </c>
    </row>
    <row r="2" spans="1:88" ht="15.6">
      <c r="A2" s="40" t="s">
        <v>71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  <c r="R2" s="41"/>
      <c r="S2" s="41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8"/>
      <c r="BA2" s="41"/>
      <c r="BB2" s="41"/>
      <c r="BC2" s="41"/>
      <c r="BD2" s="41"/>
      <c r="BE2" s="37"/>
      <c r="BF2" s="1"/>
      <c r="BG2" s="37"/>
      <c r="BH2" s="37"/>
      <c r="BI2" s="37"/>
      <c r="BJ2" s="37"/>
      <c r="BK2" s="37"/>
      <c r="BL2" s="37"/>
    </row>
    <row r="3" spans="1:88" s="113" customFormat="1" ht="24.6" customHeight="1">
      <c r="A3" s="160" t="s">
        <v>114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2"/>
      <c r="BH3" s="82"/>
      <c r="BI3" s="82"/>
      <c r="BJ3" s="84"/>
      <c r="BK3" s="84"/>
      <c r="BL3" s="84"/>
      <c r="BM3" s="41"/>
      <c r="BN3" s="41"/>
      <c r="BO3" s="4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115"/>
      <c r="CI3" s="115"/>
      <c r="CJ3" s="115"/>
    </row>
    <row r="4" spans="1:88" ht="17.850000000000001" customHeight="1">
      <c r="A4" s="161" t="s">
        <v>72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37"/>
      <c r="BK4" s="37"/>
      <c r="BL4" s="37"/>
      <c r="BM4" s="40"/>
      <c r="BN4" s="40"/>
      <c r="BO4" s="40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I4" s="41"/>
    </row>
    <row r="5" spans="1:88" s="125" customFormat="1" ht="17.850000000000001" customHeight="1">
      <c r="A5" s="121">
        <v>23</v>
      </c>
      <c r="B5" s="38">
        <v>1</v>
      </c>
      <c r="C5" s="44">
        <v>1</v>
      </c>
      <c r="D5" s="122"/>
      <c r="E5" s="122"/>
      <c r="F5" s="122"/>
      <c r="G5" s="122"/>
      <c r="H5" s="122"/>
      <c r="I5" s="122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45"/>
      <c r="AK5" s="45"/>
      <c r="AL5" s="45"/>
      <c r="AM5" s="45">
        <v>0.6</v>
      </c>
      <c r="AN5" s="45"/>
      <c r="AO5" s="45"/>
      <c r="AP5" s="45"/>
      <c r="AQ5" s="45"/>
      <c r="AR5" s="45"/>
      <c r="AS5" s="45"/>
      <c r="AT5" s="45"/>
      <c r="AU5" s="45"/>
      <c r="AV5" s="54"/>
      <c r="AW5" s="54"/>
      <c r="AX5" s="54"/>
      <c r="AY5" s="54"/>
      <c r="AZ5" s="124"/>
      <c r="BA5" s="54"/>
      <c r="BB5" s="54"/>
      <c r="BC5" s="54"/>
      <c r="BD5" s="54"/>
      <c r="BE5" s="54"/>
      <c r="BF5" s="121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>
        <v>33000</v>
      </c>
      <c r="CJ5" s="54"/>
    </row>
    <row r="6" spans="1:88" ht="19.350000000000001" customHeight="1">
      <c r="A6" s="162" t="s">
        <v>0</v>
      </c>
      <c r="B6" s="162" t="s">
        <v>1</v>
      </c>
      <c r="C6" s="162" t="s">
        <v>2</v>
      </c>
      <c r="D6" s="162" t="s">
        <v>3</v>
      </c>
      <c r="E6" s="162" t="s">
        <v>4</v>
      </c>
      <c r="F6" s="162" t="s">
        <v>77</v>
      </c>
      <c r="G6" s="165" t="s">
        <v>73</v>
      </c>
      <c r="H6" s="166"/>
      <c r="I6" s="162" t="s">
        <v>5</v>
      </c>
      <c r="J6" s="165" t="s">
        <v>6</v>
      </c>
      <c r="K6" s="173"/>
      <c r="L6" s="173"/>
      <c r="M6" s="173"/>
      <c r="N6" s="173"/>
      <c r="O6" s="173"/>
      <c r="P6" s="173"/>
      <c r="Q6" s="166"/>
      <c r="R6" s="175" t="s">
        <v>7</v>
      </c>
      <c r="S6" s="176"/>
      <c r="T6" s="183" t="s">
        <v>118</v>
      </c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5"/>
      <c r="AJ6" s="186" t="s">
        <v>107</v>
      </c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8"/>
      <c r="BF6" s="189" t="s">
        <v>68</v>
      </c>
      <c r="BG6" s="186" t="s">
        <v>119</v>
      </c>
      <c r="BH6" s="187"/>
      <c r="BI6" s="188"/>
      <c r="BJ6" s="189" t="s">
        <v>120</v>
      </c>
      <c r="BK6" s="189" t="s">
        <v>121</v>
      </c>
      <c r="BL6" s="189" t="s">
        <v>45</v>
      </c>
      <c r="BM6" s="218" t="s">
        <v>30</v>
      </c>
      <c r="BN6" s="218"/>
      <c r="BO6" s="218"/>
      <c r="BP6" s="218"/>
      <c r="BQ6" s="218"/>
      <c r="BR6" s="218"/>
      <c r="BS6" s="218"/>
      <c r="BT6" s="218"/>
      <c r="BU6" s="218"/>
      <c r="BV6" s="218"/>
      <c r="BW6" s="218"/>
      <c r="BX6" s="218"/>
      <c r="BY6" s="218"/>
      <c r="BZ6" s="218"/>
      <c r="CA6" s="218"/>
      <c r="CB6" s="218"/>
      <c r="CC6" s="218"/>
      <c r="CD6" s="215" t="s">
        <v>106</v>
      </c>
      <c r="CE6" s="215" t="s">
        <v>31</v>
      </c>
      <c r="CF6" s="212" t="s">
        <v>32</v>
      </c>
      <c r="CG6" s="215" t="s">
        <v>52</v>
      </c>
      <c r="CH6" s="212" t="s">
        <v>33</v>
      </c>
      <c r="CI6" s="215" t="s">
        <v>34</v>
      </c>
      <c r="CJ6" s="212" t="s">
        <v>35</v>
      </c>
    </row>
    <row r="7" spans="1:88" ht="22.35" customHeight="1">
      <c r="A7" s="163"/>
      <c r="B7" s="163"/>
      <c r="C7" s="163"/>
      <c r="D7" s="163"/>
      <c r="E7" s="163"/>
      <c r="F7" s="163"/>
      <c r="G7" s="167"/>
      <c r="H7" s="168"/>
      <c r="I7" s="163"/>
      <c r="J7" s="167"/>
      <c r="K7" s="174"/>
      <c r="L7" s="174"/>
      <c r="M7" s="174"/>
      <c r="N7" s="174"/>
      <c r="O7" s="174"/>
      <c r="P7" s="174"/>
      <c r="Q7" s="168"/>
      <c r="R7" s="177"/>
      <c r="S7" s="178"/>
      <c r="T7" s="171" t="s">
        <v>63</v>
      </c>
      <c r="U7" s="192"/>
      <c r="V7" s="192"/>
      <c r="W7" s="172"/>
      <c r="X7" s="171" t="s">
        <v>104</v>
      </c>
      <c r="Y7" s="192"/>
      <c r="Z7" s="192"/>
      <c r="AA7" s="192"/>
      <c r="AB7" s="192"/>
      <c r="AC7" s="172"/>
      <c r="AD7" s="171" t="s">
        <v>101</v>
      </c>
      <c r="AE7" s="192"/>
      <c r="AF7" s="192"/>
      <c r="AG7" s="192"/>
      <c r="AH7" s="192"/>
      <c r="AI7" s="172"/>
      <c r="AJ7" s="193" t="s">
        <v>78</v>
      </c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5"/>
      <c r="AX7" s="74"/>
      <c r="AY7" s="196" t="s">
        <v>102</v>
      </c>
      <c r="AZ7" s="193" t="s">
        <v>90</v>
      </c>
      <c r="BA7" s="194"/>
      <c r="BB7" s="194"/>
      <c r="BC7" s="194"/>
      <c r="BD7" s="194"/>
      <c r="BE7" s="195"/>
      <c r="BF7" s="190"/>
      <c r="BG7" s="197" t="s">
        <v>10</v>
      </c>
      <c r="BH7" s="197" t="s">
        <v>11</v>
      </c>
      <c r="BI7" s="209" t="s">
        <v>12</v>
      </c>
      <c r="BJ7" s="190"/>
      <c r="BK7" s="190"/>
      <c r="BL7" s="190"/>
      <c r="BM7" s="205" t="s">
        <v>105</v>
      </c>
      <c r="BN7" s="205" t="s">
        <v>36</v>
      </c>
      <c r="BO7" s="205" t="s">
        <v>37</v>
      </c>
      <c r="BP7" s="205" t="s">
        <v>38</v>
      </c>
      <c r="BQ7" s="205" t="s">
        <v>69</v>
      </c>
      <c r="BR7" s="205" t="s">
        <v>70</v>
      </c>
      <c r="BS7" s="205" t="s">
        <v>65</v>
      </c>
      <c r="BT7" s="205" t="s">
        <v>39</v>
      </c>
      <c r="BU7" s="205" t="s">
        <v>62</v>
      </c>
      <c r="BV7" s="205" t="s">
        <v>40</v>
      </c>
      <c r="BW7" s="205" t="s">
        <v>41</v>
      </c>
      <c r="BX7" s="205" t="s">
        <v>95</v>
      </c>
      <c r="BY7" s="205" t="s">
        <v>42</v>
      </c>
      <c r="BZ7" s="205" t="s">
        <v>43</v>
      </c>
      <c r="CA7" s="205" t="s">
        <v>122</v>
      </c>
      <c r="CB7" s="205" t="s">
        <v>123</v>
      </c>
      <c r="CC7" s="205" t="s">
        <v>44</v>
      </c>
      <c r="CD7" s="216"/>
      <c r="CE7" s="216"/>
      <c r="CF7" s="213"/>
      <c r="CG7" s="216"/>
      <c r="CH7" s="213"/>
      <c r="CI7" s="216"/>
      <c r="CJ7" s="213"/>
    </row>
    <row r="8" spans="1:88" ht="39" customHeight="1">
      <c r="A8" s="163"/>
      <c r="B8" s="163"/>
      <c r="C8" s="163"/>
      <c r="D8" s="163"/>
      <c r="E8" s="163"/>
      <c r="F8" s="163"/>
      <c r="G8" s="162" t="s">
        <v>18</v>
      </c>
      <c r="H8" s="162" t="s">
        <v>19</v>
      </c>
      <c r="I8" s="163"/>
      <c r="J8" s="162" t="s">
        <v>14</v>
      </c>
      <c r="K8" s="162" t="s">
        <v>79</v>
      </c>
      <c r="L8" s="179" t="s">
        <v>103</v>
      </c>
      <c r="M8" s="169" t="s">
        <v>96</v>
      </c>
      <c r="N8" s="162" t="s">
        <v>80</v>
      </c>
      <c r="O8" s="169" t="s">
        <v>91</v>
      </c>
      <c r="P8" s="181" t="s">
        <v>92</v>
      </c>
      <c r="Q8" s="182"/>
      <c r="R8" s="162" t="s">
        <v>17</v>
      </c>
      <c r="S8" s="169" t="s">
        <v>89</v>
      </c>
      <c r="T8" s="171" t="s">
        <v>50</v>
      </c>
      <c r="U8" s="172"/>
      <c r="V8" s="171" t="s">
        <v>51</v>
      </c>
      <c r="W8" s="172"/>
      <c r="X8" s="171" t="s">
        <v>66</v>
      </c>
      <c r="Y8" s="172"/>
      <c r="Z8" s="171" t="s">
        <v>50</v>
      </c>
      <c r="AA8" s="172"/>
      <c r="AB8" s="171" t="s">
        <v>51</v>
      </c>
      <c r="AC8" s="172"/>
      <c r="AD8" s="171" t="s">
        <v>66</v>
      </c>
      <c r="AE8" s="172"/>
      <c r="AF8" s="171" t="s">
        <v>50</v>
      </c>
      <c r="AG8" s="172"/>
      <c r="AH8" s="171" t="s">
        <v>51</v>
      </c>
      <c r="AI8" s="172"/>
      <c r="AJ8" s="162" t="s">
        <v>8</v>
      </c>
      <c r="AK8" s="199" t="s">
        <v>53</v>
      </c>
      <c r="AL8" s="189" t="s">
        <v>9</v>
      </c>
      <c r="AM8" s="189" t="s">
        <v>97</v>
      </c>
      <c r="AN8" s="189" t="s">
        <v>98</v>
      </c>
      <c r="AO8" s="201" t="s">
        <v>81</v>
      </c>
      <c r="AP8" s="189" t="s">
        <v>82</v>
      </c>
      <c r="AQ8" s="203" t="s">
        <v>67</v>
      </c>
      <c r="AR8" s="204"/>
      <c r="AS8" s="186" t="s">
        <v>99</v>
      </c>
      <c r="AT8" s="188"/>
      <c r="AU8" s="186" t="s">
        <v>100</v>
      </c>
      <c r="AV8" s="188"/>
      <c r="AW8" s="186" t="s">
        <v>74</v>
      </c>
      <c r="AX8" s="188"/>
      <c r="AY8" s="196"/>
      <c r="AZ8" s="197" t="s">
        <v>83</v>
      </c>
      <c r="BA8" s="197" t="s">
        <v>84</v>
      </c>
      <c r="BB8" s="197" t="s">
        <v>85</v>
      </c>
      <c r="BC8" s="197" t="s">
        <v>86</v>
      </c>
      <c r="BD8" s="197" t="s">
        <v>87</v>
      </c>
      <c r="BE8" s="197" t="s">
        <v>88</v>
      </c>
      <c r="BF8" s="190"/>
      <c r="BG8" s="208"/>
      <c r="BH8" s="208"/>
      <c r="BI8" s="210"/>
      <c r="BJ8" s="190"/>
      <c r="BK8" s="190"/>
      <c r="BL8" s="190"/>
      <c r="BM8" s="206"/>
      <c r="BN8" s="206"/>
      <c r="BO8" s="206"/>
      <c r="BP8" s="206"/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6"/>
      <c r="CC8" s="206"/>
      <c r="CD8" s="216"/>
      <c r="CE8" s="216"/>
      <c r="CF8" s="213"/>
      <c r="CG8" s="216"/>
      <c r="CH8" s="213"/>
      <c r="CI8" s="216"/>
      <c r="CJ8" s="213"/>
    </row>
    <row r="9" spans="1:88" ht="39" customHeight="1">
      <c r="A9" s="164"/>
      <c r="B9" s="164" t="s">
        <v>13</v>
      </c>
      <c r="C9" s="164" t="s">
        <v>13</v>
      </c>
      <c r="D9" s="164"/>
      <c r="E9" s="164"/>
      <c r="F9" s="164"/>
      <c r="G9" s="164"/>
      <c r="H9" s="164"/>
      <c r="I9" s="164"/>
      <c r="J9" s="164"/>
      <c r="K9" s="164"/>
      <c r="L9" s="180"/>
      <c r="M9" s="170"/>
      <c r="N9" s="164"/>
      <c r="O9" s="170"/>
      <c r="P9" s="114" t="s">
        <v>101</v>
      </c>
      <c r="Q9" s="111" t="s">
        <v>104</v>
      </c>
      <c r="R9" s="164"/>
      <c r="S9" s="170"/>
      <c r="T9" s="75" t="s">
        <v>15</v>
      </c>
      <c r="U9" s="75" t="s">
        <v>16</v>
      </c>
      <c r="V9" s="75" t="s">
        <v>15</v>
      </c>
      <c r="W9" s="75" t="s">
        <v>16</v>
      </c>
      <c r="X9" s="75" t="s">
        <v>15</v>
      </c>
      <c r="Y9" s="75" t="s">
        <v>16</v>
      </c>
      <c r="Z9" s="75" t="s">
        <v>15</v>
      </c>
      <c r="AA9" s="75" t="s">
        <v>16</v>
      </c>
      <c r="AB9" s="75" t="s">
        <v>15</v>
      </c>
      <c r="AC9" s="75" t="s">
        <v>16</v>
      </c>
      <c r="AD9" s="76" t="s">
        <v>15</v>
      </c>
      <c r="AE9" s="75" t="s">
        <v>16</v>
      </c>
      <c r="AF9" s="75" t="s">
        <v>15</v>
      </c>
      <c r="AG9" s="75" t="s">
        <v>16</v>
      </c>
      <c r="AH9" s="75" t="s">
        <v>15</v>
      </c>
      <c r="AI9" s="75" t="s">
        <v>16</v>
      </c>
      <c r="AJ9" s="164"/>
      <c r="AK9" s="200"/>
      <c r="AL9" s="191"/>
      <c r="AM9" s="191"/>
      <c r="AN9" s="191"/>
      <c r="AO9" s="202"/>
      <c r="AP9" s="191"/>
      <c r="AQ9" s="112" t="s">
        <v>101</v>
      </c>
      <c r="AR9" s="112" t="s">
        <v>104</v>
      </c>
      <c r="AS9" s="77" t="s">
        <v>15</v>
      </c>
      <c r="AT9" s="77" t="s">
        <v>16</v>
      </c>
      <c r="AU9" s="77" t="s">
        <v>15</v>
      </c>
      <c r="AV9" s="77" t="s">
        <v>16</v>
      </c>
      <c r="AW9" s="77" t="s">
        <v>15</v>
      </c>
      <c r="AX9" s="77" t="s">
        <v>16</v>
      </c>
      <c r="AY9" s="196"/>
      <c r="AZ9" s="198"/>
      <c r="BA9" s="198"/>
      <c r="BB9" s="198"/>
      <c r="BC9" s="198"/>
      <c r="BD9" s="198"/>
      <c r="BE9" s="198"/>
      <c r="BF9" s="191"/>
      <c r="BG9" s="198"/>
      <c r="BH9" s="198"/>
      <c r="BI9" s="211"/>
      <c r="BJ9" s="191"/>
      <c r="BK9" s="191"/>
      <c r="BL9" s="191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17"/>
      <c r="CE9" s="217"/>
      <c r="CF9" s="214"/>
      <c r="CG9" s="217"/>
      <c r="CH9" s="214"/>
      <c r="CI9" s="217"/>
      <c r="CJ9" s="214"/>
    </row>
    <row r="10" spans="1:88" ht="21" customHeight="1">
      <c r="A10" s="85" t="s">
        <v>108</v>
      </c>
      <c r="B10" s="101" t="s">
        <v>109</v>
      </c>
      <c r="C10" s="101" t="s">
        <v>110</v>
      </c>
      <c r="D10" s="101">
        <v>-1</v>
      </c>
      <c r="E10" s="101"/>
      <c r="F10" s="102">
        <v>-2</v>
      </c>
      <c r="G10" s="103" t="s">
        <v>115</v>
      </c>
      <c r="H10" s="102">
        <v>-4</v>
      </c>
      <c r="I10" s="101">
        <v>-5</v>
      </c>
      <c r="J10" s="101">
        <v>-6</v>
      </c>
      <c r="K10" s="101">
        <v>-7</v>
      </c>
      <c r="L10" s="101">
        <v>-8</v>
      </c>
      <c r="M10" s="101">
        <v>-7</v>
      </c>
      <c r="N10" s="101">
        <v>-9</v>
      </c>
      <c r="O10" s="101"/>
      <c r="P10" s="101">
        <v>-10</v>
      </c>
      <c r="Q10" s="101"/>
      <c r="R10" s="101"/>
      <c r="S10" s="101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1">
        <v>-11</v>
      </c>
      <c r="AE10" s="101"/>
      <c r="AF10" s="101">
        <v>-12</v>
      </c>
      <c r="AG10" s="101">
        <v>-13</v>
      </c>
      <c r="AH10" s="101">
        <v>-14</v>
      </c>
      <c r="AI10" s="101">
        <v>-15</v>
      </c>
      <c r="AJ10" s="101">
        <v>-16</v>
      </c>
      <c r="AK10" s="101">
        <v>-17</v>
      </c>
      <c r="AL10" s="101">
        <v>-18</v>
      </c>
      <c r="AM10" s="101">
        <v>-10</v>
      </c>
      <c r="AN10" s="101">
        <v>-10</v>
      </c>
      <c r="AO10" s="101">
        <v>-19</v>
      </c>
      <c r="AP10" s="101">
        <v>-20</v>
      </c>
      <c r="AQ10" s="101">
        <v>-21</v>
      </c>
      <c r="AR10" s="101">
        <v>-10</v>
      </c>
      <c r="AS10" s="101">
        <v>-22</v>
      </c>
      <c r="AT10" s="101">
        <v>-23</v>
      </c>
      <c r="AU10" s="101">
        <v>-10</v>
      </c>
      <c r="AV10" s="101">
        <v>-10</v>
      </c>
      <c r="AW10" s="101">
        <v>-10</v>
      </c>
      <c r="AX10" s="101">
        <v>-10</v>
      </c>
      <c r="AY10" s="101">
        <v>-24</v>
      </c>
      <c r="AZ10" s="101">
        <v>-25</v>
      </c>
      <c r="BA10" s="101">
        <v>-10</v>
      </c>
      <c r="BB10" s="101">
        <v>-26</v>
      </c>
      <c r="BC10" s="101">
        <v>-27</v>
      </c>
      <c r="BD10" s="101">
        <v>-10</v>
      </c>
      <c r="BE10" s="101">
        <v>-10</v>
      </c>
      <c r="BF10" s="101">
        <v>-28</v>
      </c>
      <c r="BG10" s="101">
        <v>-29</v>
      </c>
      <c r="BH10" s="101">
        <v>-30</v>
      </c>
      <c r="BI10" s="101">
        <v>-31</v>
      </c>
      <c r="BJ10" s="101">
        <v>-34</v>
      </c>
      <c r="BK10" s="101"/>
      <c r="BL10" s="101">
        <v>-35</v>
      </c>
      <c r="BM10" s="105">
        <v>-21</v>
      </c>
      <c r="BN10" s="105">
        <v>-22</v>
      </c>
      <c r="BO10" s="105">
        <v>-23</v>
      </c>
      <c r="BP10" s="105">
        <v>-24</v>
      </c>
      <c r="BQ10" s="105"/>
      <c r="BR10" s="105"/>
      <c r="BS10" s="105"/>
      <c r="BT10" s="105"/>
      <c r="BU10" s="105"/>
      <c r="BV10" s="105"/>
      <c r="BW10" s="105"/>
      <c r="BX10" s="105"/>
      <c r="BY10" s="105">
        <v>-25</v>
      </c>
      <c r="BZ10" s="105"/>
      <c r="CA10" s="105">
        <v>-26</v>
      </c>
      <c r="CB10" s="106"/>
      <c r="CC10" s="106" t="s">
        <v>111</v>
      </c>
      <c r="CD10" s="107">
        <v>28</v>
      </c>
      <c r="CE10" s="106"/>
      <c r="CF10" s="106" t="s">
        <v>112</v>
      </c>
      <c r="CG10" s="106">
        <v>30</v>
      </c>
      <c r="CH10" s="106">
        <v>31</v>
      </c>
      <c r="CI10" s="106">
        <v>32</v>
      </c>
      <c r="CJ10" s="106" t="s">
        <v>113</v>
      </c>
    </row>
    <row r="11" spans="1:88" s="63" customFormat="1" ht="31.95" customHeight="1">
      <c r="A11" s="47">
        <v>1</v>
      </c>
      <c r="B11" s="86" t="s">
        <v>20</v>
      </c>
      <c r="C11" s="108" t="s">
        <v>48</v>
      </c>
      <c r="D11" s="4">
        <v>16740000</v>
      </c>
      <c r="E11" s="5"/>
      <c r="F11" s="88">
        <v>6500000</v>
      </c>
      <c r="G11" s="79">
        <v>9030000</v>
      </c>
      <c r="H11" s="79"/>
      <c r="I11" s="6" t="str">
        <f>'[1]11. Xếp loại'!E9</f>
        <v>A</v>
      </c>
      <c r="J11" s="7">
        <f>'[1]3. Chấm công'!AH8</f>
        <v>23</v>
      </c>
      <c r="K11" s="7">
        <f>'[1]3. Chấm công'!AI8</f>
        <v>0</v>
      </c>
      <c r="L11" s="7">
        <f>'[1]3. Chấm công'!AL8</f>
        <v>0</v>
      </c>
      <c r="M11" s="7">
        <f>'[1]3. Chấm công'!AJ8</f>
        <v>0</v>
      </c>
      <c r="N11" s="7"/>
      <c r="O11" s="7">
        <f>'[1]3. Chấm công'!AK8</f>
        <v>0</v>
      </c>
      <c r="P11" s="8">
        <f>'[1]3. Chấm công'!AT8</f>
        <v>0</v>
      </c>
      <c r="Q11" s="8"/>
      <c r="R11" s="8"/>
      <c r="S11" s="8">
        <f>'[1]3. Chấm công'!AP8</f>
        <v>0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>
        <f>'[1]6. THKH tháng'!BG15</f>
        <v>0</v>
      </c>
      <c r="AI11" s="9">
        <f>'[1]6. THKH tháng'!BH15</f>
        <v>0</v>
      </c>
      <c r="AJ11" s="6">
        <f>ROUND(F11*(J11+K11+M11)/$A$5,-3)</f>
        <v>6500000</v>
      </c>
      <c r="AK11" s="11">
        <f>IF(I11="A",(D11-F11)*(J11+K11+M11)/$A$5,IF(I11="B",(D11-F11)*0.5*(J11+K11+M11)/$A$5,IF(I11="C",0)))</f>
        <v>10240000</v>
      </c>
      <c r="AL11" s="10"/>
      <c r="AM11" s="10"/>
      <c r="AN11" s="10"/>
      <c r="AO11" s="10">
        <f>ROUND(G11*(L11)/$A$5,-3)</f>
        <v>0</v>
      </c>
      <c r="AP11" s="10">
        <f t="shared" ref="AP11:AP16" si="0">ROUND(G11*N11/$A$5*85%,-3)</f>
        <v>0</v>
      </c>
      <c r="AQ11" s="5">
        <f t="shared" ref="AQ11:AQ27" si="1">ROUND(P11*316000,-3)</f>
        <v>0</v>
      </c>
      <c r="AR11" s="5">
        <f t="shared" ref="AR11:AR16" si="2">ROUND(Q11*301000,-3)</f>
        <v>0</v>
      </c>
      <c r="AS11" s="5">
        <f t="shared" ref="AS11:AS27" si="3">ROUND(AD11*43000+AF11*43000+AH11*43000,-3)</f>
        <v>0</v>
      </c>
      <c r="AT11" s="5">
        <f t="shared" ref="AT11:AT27" si="4">ROUND(AE11*54000+AG11*54000+AI11*57000,-3)</f>
        <v>0</v>
      </c>
      <c r="AU11" s="12">
        <f>ROUND((AF11*39000+AH11*39000),-3)</f>
        <v>0</v>
      </c>
      <c r="AV11" s="12">
        <f>ROUND((AI11*52000+AG11*48600),-3)</f>
        <v>0</v>
      </c>
      <c r="AW11" s="12">
        <f>ROUND((T11*39000+AD11*39000),-3)</f>
        <v>0</v>
      </c>
      <c r="AX11" s="12">
        <f>ROUND((U11*48600+AE11*52000),-3)</f>
        <v>0</v>
      </c>
      <c r="AY11" s="12"/>
      <c r="AZ11" s="109"/>
      <c r="BA11" s="5"/>
      <c r="BB11" s="5"/>
      <c r="BC11" s="5"/>
      <c r="BD11" s="5"/>
      <c r="BE11" s="5"/>
      <c r="BF11" s="13">
        <f>ROUND(SUM(AJ11:BD11)-BE11,-3)</f>
        <v>16740000</v>
      </c>
      <c r="BG11" s="11">
        <f>ROUND((D11-F11)*(J11+K11+M11)/$A$5*$C$5,-3)</f>
        <v>10240000</v>
      </c>
      <c r="BH11" s="89">
        <f>AK11</f>
        <v>10240000</v>
      </c>
      <c r="BI11" s="89">
        <f>BG11-BH11</f>
        <v>0</v>
      </c>
      <c r="BJ11" s="53">
        <v>768000</v>
      </c>
      <c r="BK11" s="53"/>
      <c r="BL11" s="78">
        <f>ROUND((BF11+BJ11),-3)</f>
        <v>17508000</v>
      </c>
      <c r="BM11" s="100">
        <f>ROUND(IF((BL11-BN11-BO11-BP11)*0.5%&lt;234000,(BL11-BN11-BO11-BP11)*0.5%,234000),-3)</f>
        <v>83000</v>
      </c>
      <c r="BN11" s="116">
        <v>722400</v>
      </c>
      <c r="BO11" s="116">
        <v>135450</v>
      </c>
      <c r="BP11" s="116">
        <v>90300</v>
      </c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>
        <v>527529</v>
      </c>
      <c r="CB11" s="116"/>
      <c r="CC11" s="117">
        <f>SUM(BM11:CB11)</f>
        <v>1558679</v>
      </c>
      <c r="CD11" s="116"/>
      <c r="CE11" s="116"/>
      <c r="CF11" s="117">
        <f>(BL11-CC11+CD11+CE11)</f>
        <v>15949321</v>
      </c>
      <c r="CG11" s="116">
        <v>100000</v>
      </c>
      <c r="CH11" s="116">
        <v>23</v>
      </c>
      <c r="CI11" s="116">
        <f>CH11*$CI$5</f>
        <v>759000</v>
      </c>
      <c r="CJ11" s="117">
        <f>CF11+CI11+CG11</f>
        <v>16808321</v>
      </c>
    </row>
    <row r="12" spans="1:88" s="64" customFormat="1" ht="31.95" customHeight="1">
      <c r="A12" s="47">
        <v>2</v>
      </c>
      <c r="B12" s="86" t="s">
        <v>23</v>
      </c>
      <c r="C12" s="87" t="s">
        <v>93</v>
      </c>
      <c r="D12" s="4">
        <v>14700000</v>
      </c>
      <c r="E12" s="79">
        <v>525000</v>
      </c>
      <c r="F12" s="88">
        <v>6500000</v>
      </c>
      <c r="G12" s="79">
        <v>6830000</v>
      </c>
      <c r="H12" s="79">
        <v>525000</v>
      </c>
      <c r="I12" s="6" t="str">
        <f>'[1]11. Xếp loại'!E10</f>
        <v>A</v>
      </c>
      <c r="J12" s="7">
        <f>'[1]3. Chấm công'!AR9</f>
        <v>23</v>
      </c>
      <c r="K12" s="7">
        <f>'[1]3. Chấm công'!AI9</f>
        <v>0</v>
      </c>
      <c r="L12" s="18">
        <f>'[1]3. Chấm công'!AL9</f>
        <v>0</v>
      </c>
      <c r="M12" s="7">
        <f>'[1]3. Chấm công'!AJ9</f>
        <v>0</v>
      </c>
      <c r="N12" s="7"/>
      <c r="O12" s="7">
        <f>'[1]3. Chấm công'!AK9</f>
        <v>0</v>
      </c>
      <c r="P12" s="8">
        <f>'[1]3. Chấm công'!AT9</f>
        <v>62</v>
      </c>
      <c r="Q12" s="8"/>
      <c r="R12" s="8"/>
      <c r="S12" s="8">
        <f>'[1]3. Chấm công'!AP9</f>
        <v>0</v>
      </c>
      <c r="T12" s="9">
        <f>'[1]6. THKH tháng'!BG17</f>
        <v>0</v>
      </c>
      <c r="U12" s="9">
        <f>'[1]6. THKH tháng'!BH17</f>
        <v>0</v>
      </c>
      <c r="V12" s="9"/>
      <c r="W12" s="9"/>
      <c r="X12" s="9">
        <f>'[1]6. THKH tháng'!BI16</f>
        <v>0</v>
      </c>
      <c r="Y12" s="9">
        <f>'[1]6. THKH tháng'!BJ16</f>
        <v>0</v>
      </c>
      <c r="Z12" s="9">
        <f>'[1]6. THKH tháng'!BI17</f>
        <v>0</v>
      </c>
      <c r="AA12" s="9">
        <f>'[1]6. THKH tháng'!BJ17</f>
        <v>0</v>
      </c>
      <c r="AB12" s="9">
        <f>'[1]6. THKH tháng'!BI18</f>
        <v>0</v>
      </c>
      <c r="AC12" s="9">
        <f>'[1]6. THKH tháng'!BJ18</f>
        <v>0</v>
      </c>
      <c r="AD12" s="10">
        <f>'[1]6. THKH tháng'!BK16</f>
        <v>0</v>
      </c>
      <c r="AE12" s="10">
        <f>'[1]6. THKH tháng'!BL16</f>
        <v>0</v>
      </c>
      <c r="AF12" s="14">
        <f>'[1]6. THKH tháng'!BK17</f>
        <v>63.199999999999989</v>
      </c>
      <c r="AG12" s="14">
        <f>'[1]6. THKH tháng'!BL17</f>
        <v>0</v>
      </c>
      <c r="AH12" s="14">
        <f>'[1]6. THKH tháng'!BK18</f>
        <v>90.133333333333326</v>
      </c>
      <c r="AI12" s="14">
        <f>'[1]6. THKH tháng'!BL18</f>
        <v>0</v>
      </c>
      <c r="AJ12" s="6">
        <f>ROUND(F12*(J12)/$A$5*$B$5,-3)</f>
        <v>6500000</v>
      </c>
      <c r="AK12" s="11">
        <f t="shared" ref="AK12:AK24" si="5">ROUND(IF(I12="A",(D12-F12-4500000)*(J12)/$A$5*$B$5,IF(I12="B",(D12-F12-4500000)*0.5*(J12)/$A$5*$B$5,IF(I12="C",0))),-3)</f>
        <v>3700000</v>
      </c>
      <c r="AL12" s="10">
        <f t="shared" ref="AL12:AL27" si="6">ROUND(G12*(K12)/$A$5,-3)</f>
        <v>0</v>
      </c>
      <c r="AM12" s="10"/>
      <c r="AN12" s="10">
        <f>ROUND((D12)*M12/$A$5,-3)</f>
        <v>0</v>
      </c>
      <c r="AO12" s="10">
        <f>ROUND(G12*(L12)/$A$5,-3)</f>
        <v>0</v>
      </c>
      <c r="AP12" s="10">
        <f t="shared" si="0"/>
        <v>0</v>
      </c>
      <c r="AQ12" s="5">
        <f t="shared" si="1"/>
        <v>19592000</v>
      </c>
      <c r="AR12" s="5">
        <f t="shared" si="2"/>
        <v>0</v>
      </c>
      <c r="AS12" s="5">
        <f>ROUND(AD12*43000+AF12*43000+AH12*43000,-3)</f>
        <v>6593000</v>
      </c>
      <c r="AT12" s="5">
        <f>ROUND(AE12*54000+AG12*54000+AI12*57000,-3)</f>
        <v>0</v>
      </c>
      <c r="AU12" s="12">
        <f>ROUND((X12*39000+Z12*39000+AB12*39000),-3)</f>
        <v>0</v>
      </c>
      <c r="AV12" s="12">
        <f>ROUND((AC12*52000+AA12*48600+Y12*52000),-3)</f>
        <v>0</v>
      </c>
      <c r="AW12" s="12">
        <f>ROUND((T12*39000+V12*39000),-3)</f>
        <v>0</v>
      </c>
      <c r="AX12" s="12">
        <f>(U12*48600+AE12*52000)</f>
        <v>0</v>
      </c>
      <c r="AY12" s="46">
        <f t="shared" ref="AY12:AY27" si="7">ROUND((IF(I12="A",0,IF(I12="B",-(1330000)*50%,IF(I12="C",-(1330000)*100%))))*(J12)/$A$5,-3)</f>
        <v>0</v>
      </c>
      <c r="AZ12" s="10">
        <v>525000</v>
      </c>
      <c r="BA12" s="10"/>
      <c r="BB12" s="5"/>
      <c r="BC12" s="5"/>
      <c r="BD12" s="5"/>
      <c r="BE12" s="5"/>
      <c r="BF12" s="13">
        <f t="shared" ref="BF12:BF27" si="8">ROUND(SUM(AJ12:BD12)-BE12,-3)</f>
        <v>36910000</v>
      </c>
      <c r="BG12" s="11">
        <f t="shared" ref="BG12:BG24" si="9">ROUND((D12-F12-4500000)*(J12)/$A$5*$B$5,-3)</f>
        <v>3700000</v>
      </c>
      <c r="BH12" s="89">
        <f>AK12</f>
        <v>3700000</v>
      </c>
      <c r="BI12" s="89">
        <f>BG12-BH12</f>
        <v>0</v>
      </c>
      <c r="BJ12" s="53">
        <v>11636000</v>
      </c>
      <c r="BK12" s="53"/>
      <c r="BL12" s="78">
        <f t="shared" ref="BL12:BL27" si="10">ROUND((BF12+BJ12),-3)</f>
        <v>48546000</v>
      </c>
      <c r="BM12" s="100">
        <f t="shared" ref="BM12:BM27" si="11">ROUND(IF((BL12-BN12-BO12-BP12)*0.5%&lt;234000,(BL12-BN12-BO12-BP12)*0.5%,234000),-3)</f>
        <v>234000</v>
      </c>
      <c r="BN12" s="116">
        <v>588400</v>
      </c>
      <c r="BO12" s="116">
        <v>110325</v>
      </c>
      <c r="BP12" s="116">
        <v>73550</v>
      </c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>
        <v>367625</v>
      </c>
      <c r="CB12" s="116">
        <v>1564600</v>
      </c>
      <c r="CC12" s="117">
        <f>SUM(BM12:CB12)</f>
        <v>2938500</v>
      </c>
      <c r="CD12" s="116"/>
      <c r="CE12" s="116"/>
      <c r="CF12" s="117">
        <f t="shared" ref="CF12:CF27" si="12">(BL12-CC12+CD12+CE12)</f>
        <v>45607500</v>
      </c>
      <c r="CG12" s="116">
        <v>100000</v>
      </c>
      <c r="CH12" s="116">
        <v>23</v>
      </c>
      <c r="CI12" s="116">
        <f t="shared" ref="CI12:CI27" si="13">CH12*$CI$5</f>
        <v>759000</v>
      </c>
      <c r="CJ12" s="117">
        <f t="shared" ref="CJ12:CJ27" si="14">CF12+CI12+CG12</f>
        <v>46466500</v>
      </c>
    </row>
    <row r="13" spans="1:88" s="64" customFormat="1" ht="31.95" customHeight="1">
      <c r="A13" s="47">
        <v>3</v>
      </c>
      <c r="B13" s="86" t="s">
        <v>25</v>
      </c>
      <c r="C13" s="90" t="s">
        <v>24</v>
      </c>
      <c r="D13" s="4">
        <v>14700000</v>
      </c>
      <c r="E13" s="79"/>
      <c r="F13" s="88">
        <v>6500000</v>
      </c>
      <c r="G13" s="79">
        <v>6830000</v>
      </c>
      <c r="H13" s="79"/>
      <c r="I13" s="6" t="str">
        <f>'[1]11. Xếp loại'!E11</f>
        <v>A</v>
      </c>
      <c r="J13" s="7">
        <f>'[1]3. Chấm công'!AR10</f>
        <v>23</v>
      </c>
      <c r="K13" s="7">
        <f>'[1]3. Chấm công'!AI10</f>
        <v>0</v>
      </c>
      <c r="L13" s="7">
        <f>'[1]3. Chấm công'!AL10</f>
        <v>0</v>
      </c>
      <c r="M13" s="7">
        <f>'[1]3. Chấm công'!AJ10</f>
        <v>0</v>
      </c>
      <c r="N13" s="7"/>
      <c r="O13" s="7">
        <f>'[1]3. Chấm công'!AK10</f>
        <v>0</v>
      </c>
      <c r="P13" s="16">
        <f>'[1]3. Chấm công'!AT10</f>
        <v>68</v>
      </c>
      <c r="Q13" s="8"/>
      <c r="R13" s="8"/>
      <c r="S13" s="8">
        <f>'[1]3. Chấm công'!AP10</f>
        <v>0</v>
      </c>
      <c r="T13" s="10">
        <f>'[1]6. THKH tháng'!BG20</f>
        <v>0</v>
      </c>
      <c r="U13" s="10">
        <f>'[1]6. THKH tháng'!BH20</f>
        <v>0</v>
      </c>
      <c r="V13" s="10"/>
      <c r="W13" s="10"/>
      <c r="X13" s="10">
        <f>'[1]6. THKH tháng'!BI19</f>
        <v>0</v>
      </c>
      <c r="Y13" s="10">
        <f>'[1]6. THKH tháng'!BJ19</f>
        <v>0</v>
      </c>
      <c r="Z13" s="10">
        <f>'[1]6. THKH tháng'!BI20</f>
        <v>0</v>
      </c>
      <c r="AA13" s="10">
        <f>'[1]6. THKH tháng'!BJ20</f>
        <v>0</v>
      </c>
      <c r="AB13" s="10">
        <f>'[1]6. THKH tháng'!BI21</f>
        <v>0</v>
      </c>
      <c r="AC13" s="10">
        <f>'[1]6. THKH tháng'!BJ21</f>
        <v>0</v>
      </c>
      <c r="AD13" s="9">
        <f>'[1]6. THKH tháng'!BK19</f>
        <v>0</v>
      </c>
      <c r="AE13" s="9">
        <f>'[1]6. THKH tháng'!BL19</f>
        <v>0</v>
      </c>
      <c r="AF13" s="14">
        <f>'[1]6. THKH tháng'!BK20</f>
        <v>102.6</v>
      </c>
      <c r="AG13" s="14">
        <f>'[1]6. THKH tháng'!BL20</f>
        <v>0</v>
      </c>
      <c r="AH13" s="14">
        <f>'[1]6. THKH tháng'!BK21</f>
        <v>6.1333333333333329</v>
      </c>
      <c r="AI13" s="14">
        <f>'[1]6. THKH tháng'!BL21</f>
        <v>0</v>
      </c>
      <c r="AJ13" s="6">
        <f t="shared" ref="AJ13:AJ24" si="15">ROUND(F13*(J13)/$A$5*$B$5,-3)</f>
        <v>6500000</v>
      </c>
      <c r="AK13" s="11">
        <f>ROUND(IF(I13="A",(D13-F13-4500000)*(J13)/$A$5*$B$5,IF(I13="B",(D13-F13-4500000)*0.5*(J13)/$A$5*$B$5,IF(I13="C",0))),-3)</f>
        <v>3700000</v>
      </c>
      <c r="AL13" s="10">
        <f t="shared" si="6"/>
        <v>0</v>
      </c>
      <c r="AM13" s="10"/>
      <c r="AN13" s="10">
        <f>ROUND((D13)*M13/$A$5,-3)</f>
        <v>0</v>
      </c>
      <c r="AO13" s="10">
        <f t="shared" ref="AO13:AO27" si="16">ROUND(G13*(L13)/$A$5,-3)</f>
        <v>0</v>
      </c>
      <c r="AP13" s="10">
        <f t="shared" si="0"/>
        <v>0</v>
      </c>
      <c r="AQ13" s="5">
        <f>ROUND(P13*316000,-3)</f>
        <v>21488000</v>
      </c>
      <c r="AR13" s="5">
        <f t="shared" si="2"/>
        <v>0</v>
      </c>
      <c r="AS13" s="5">
        <f t="shared" si="3"/>
        <v>4676000</v>
      </c>
      <c r="AT13" s="5">
        <f t="shared" si="4"/>
        <v>0</v>
      </c>
      <c r="AU13" s="12">
        <f>ROUND((X13*39000+Z13*39000+AB13*39000),-3)</f>
        <v>0</v>
      </c>
      <c r="AV13" s="12">
        <f>ROUND((AC13*52000+AA13*48600+Y13*52000),-3)</f>
        <v>0</v>
      </c>
      <c r="AW13" s="12">
        <f>ROUND((T13*39000+V13*39000),-3)</f>
        <v>0</v>
      </c>
      <c r="AX13" s="12">
        <f>(U13*48600+AE13*52000)</f>
        <v>0</v>
      </c>
      <c r="AY13" s="46">
        <f t="shared" si="7"/>
        <v>0</v>
      </c>
      <c r="AZ13" s="17"/>
      <c r="BA13" s="10"/>
      <c r="BB13" s="5"/>
      <c r="BC13" s="5"/>
      <c r="BD13" s="5"/>
      <c r="BE13" s="5"/>
      <c r="BF13" s="13">
        <f t="shared" si="8"/>
        <v>36364000</v>
      </c>
      <c r="BG13" s="11">
        <f t="shared" si="9"/>
        <v>3700000</v>
      </c>
      <c r="BH13" s="89">
        <f t="shared" ref="BH13:BH27" si="17">AK13</f>
        <v>3700000</v>
      </c>
      <c r="BI13" s="89">
        <f t="shared" ref="BI13:BI27" si="18">BG13-BH13</f>
        <v>0</v>
      </c>
      <c r="BJ13" s="53">
        <v>11461000</v>
      </c>
      <c r="BK13" s="53"/>
      <c r="BL13" s="78">
        <f t="shared" si="10"/>
        <v>47825000</v>
      </c>
      <c r="BM13" s="100">
        <f t="shared" si="11"/>
        <v>234000</v>
      </c>
      <c r="BN13" s="116">
        <v>546400</v>
      </c>
      <c r="BO13" s="116">
        <v>102450</v>
      </c>
      <c r="BP13" s="116">
        <v>68300</v>
      </c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>
        <v>4000500</v>
      </c>
      <c r="CB13" s="116">
        <v>2112500</v>
      </c>
      <c r="CC13" s="117">
        <f t="shared" ref="CC13:CC27" si="19">SUM(BM13:CB13)</f>
        <v>7064150</v>
      </c>
      <c r="CD13" s="116">
        <v>80000</v>
      </c>
      <c r="CE13" s="116"/>
      <c r="CF13" s="117">
        <f t="shared" si="12"/>
        <v>40840850</v>
      </c>
      <c r="CG13" s="116">
        <v>100000</v>
      </c>
      <c r="CH13" s="116">
        <v>23</v>
      </c>
      <c r="CI13" s="116">
        <f t="shared" si="13"/>
        <v>759000</v>
      </c>
      <c r="CJ13" s="117">
        <f t="shared" si="14"/>
        <v>41699850</v>
      </c>
    </row>
    <row r="14" spans="1:88" s="64" customFormat="1" ht="31.95" customHeight="1">
      <c r="A14" s="47">
        <v>4</v>
      </c>
      <c r="B14" s="86" t="s">
        <v>26</v>
      </c>
      <c r="C14" s="87" t="s">
        <v>94</v>
      </c>
      <c r="D14" s="4">
        <v>14200000</v>
      </c>
      <c r="E14" s="79">
        <v>525000</v>
      </c>
      <c r="F14" s="88">
        <v>6500000</v>
      </c>
      <c r="G14" s="79">
        <v>6490000</v>
      </c>
      <c r="H14" s="79">
        <v>525000</v>
      </c>
      <c r="I14" s="6" t="str">
        <f>'[1]11. Xếp loại'!E12</f>
        <v>A</v>
      </c>
      <c r="J14" s="7">
        <f>'[1]3. Chấm công'!AR11</f>
        <v>23</v>
      </c>
      <c r="K14" s="7">
        <f>'[1]3. Chấm công'!AI11</f>
        <v>0</v>
      </c>
      <c r="L14" s="7">
        <f>'[1]3. Chấm công'!AL11</f>
        <v>0</v>
      </c>
      <c r="M14" s="7">
        <f>'[1]3. Chấm công'!AJ11</f>
        <v>0</v>
      </c>
      <c r="N14" s="7"/>
      <c r="O14" s="7">
        <f>'[1]3. Chấm công'!AK11</f>
        <v>0</v>
      </c>
      <c r="P14" s="16">
        <f>'[1]3. Chấm công'!AO11</f>
        <v>62</v>
      </c>
      <c r="Q14" s="8"/>
      <c r="R14" s="8"/>
      <c r="S14" s="8">
        <f>'[1]3. Chấm công'!AP11</f>
        <v>0</v>
      </c>
      <c r="T14" s="9">
        <f>'[1]6. THKH tháng'!BG23</f>
        <v>0</v>
      </c>
      <c r="U14" s="9">
        <f>'[1]6. THKH tháng'!BH23</f>
        <v>0</v>
      </c>
      <c r="V14" s="9">
        <f>'[1]6. THKH tháng'!BG24</f>
        <v>0</v>
      </c>
      <c r="W14" s="9">
        <f>'[1]6. THKH tháng'!BH24</f>
        <v>0</v>
      </c>
      <c r="X14" s="9">
        <f>'[1]6. THKH tháng'!BI22</f>
        <v>0</v>
      </c>
      <c r="Y14" s="9">
        <f>'[1]6. THKH tháng'!BJ22</f>
        <v>0</v>
      </c>
      <c r="Z14" s="9">
        <f>'[1]6. THKH tháng'!BI23</f>
        <v>0</v>
      </c>
      <c r="AA14" s="9">
        <f>'[1]6. THKH tháng'!BJ23</f>
        <v>0</v>
      </c>
      <c r="AB14" s="9">
        <f>'[1]6. THKH tháng'!BI24</f>
        <v>0</v>
      </c>
      <c r="AC14" s="9">
        <f>'[1]6. THKH tháng'!BJ24</f>
        <v>0</v>
      </c>
      <c r="AD14" s="9">
        <f>'[1]6. THKH tháng'!BK22</f>
        <v>58.1</v>
      </c>
      <c r="AE14" s="9">
        <f>'[1]6. THKH tháng'!BL22</f>
        <v>0</v>
      </c>
      <c r="AF14" s="14">
        <f>'[1]6. THKH tháng'!BK23</f>
        <v>1.4666666666666686</v>
      </c>
      <c r="AG14" s="14">
        <f>'[1]6. THKH tháng'!BL23</f>
        <v>0</v>
      </c>
      <c r="AH14" s="14">
        <f>'[1]6. THKH tháng'!BK24</f>
        <v>0</v>
      </c>
      <c r="AI14" s="14">
        <f>'[1]6. THKH tháng'!BL24</f>
        <v>0</v>
      </c>
      <c r="AJ14" s="6">
        <f t="shared" si="15"/>
        <v>6500000</v>
      </c>
      <c r="AK14" s="11">
        <f t="shared" si="5"/>
        <v>3200000</v>
      </c>
      <c r="AL14" s="10">
        <f t="shared" si="6"/>
        <v>0</v>
      </c>
      <c r="AM14" s="10"/>
      <c r="AN14" s="10">
        <f>ROUND((D14)*M14/$A$5,-3)</f>
        <v>0</v>
      </c>
      <c r="AO14" s="10">
        <f>ROUND(G14*(L14)/$A$5,-3)</f>
        <v>0</v>
      </c>
      <c r="AP14" s="10">
        <f t="shared" si="0"/>
        <v>0</v>
      </c>
      <c r="AQ14" s="5">
        <f t="shared" si="1"/>
        <v>19592000</v>
      </c>
      <c r="AR14" s="5">
        <f t="shared" si="2"/>
        <v>0</v>
      </c>
      <c r="AS14" s="5">
        <f>ROUND(AD14*43000+AF14*43000+AH14*43000,-3)</f>
        <v>2561000</v>
      </c>
      <c r="AT14" s="5">
        <f t="shared" si="4"/>
        <v>0</v>
      </c>
      <c r="AU14" s="12">
        <f>ROUND((X14*39000+Z14*39000+AB14*39000),-3)</f>
        <v>0</v>
      </c>
      <c r="AV14" s="12">
        <f>ROUND((AC14*52000+AA14*48600+Y14*52000),-3)</f>
        <v>0</v>
      </c>
      <c r="AW14" s="12">
        <f>ROUND((T14*39000+V14*39000),-3)</f>
        <v>0</v>
      </c>
      <c r="AX14" s="12">
        <f>(U14*48600+AE14*52000)</f>
        <v>0</v>
      </c>
      <c r="AY14" s="46">
        <f t="shared" si="7"/>
        <v>0</v>
      </c>
      <c r="AZ14" s="10">
        <v>525000</v>
      </c>
      <c r="BA14" s="10"/>
      <c r="BB14" s="5"/>
      <c r="BC14" s="5"/>
      <c r="BD14" s="5"/>
      <c r="BE14" s="5"/>
      <c r="BF14" s="13">
        <f t="shared" si="8"/>
        <v>32378000</v>
      </c>
      <c r="BG14" s="11">
        <f t="shared" si="9"/>
        <v>3200000</v>
      </c>
      <c r="BH14" s="89">
        <f t="shared" si="17"/>
        <v>3200000</v>
      </c>
      <c r="BI14" s="89">
        <f t="shared" si="18"/>
        <v>0</v>
      </c>
      <c r="BJ14" s="53">
        <v>9701000</v>
      </c>
      <c r="BK14" s="53"/>
      <c r="BL14" s="78">
        <f t="shared" si="10"/>
        <v>42079000</v>
      </c>
      <c r="BM14" s="100">
        <f t="shared" si="11"/>
        <v>207000</v>
      </c>
      <c r="BN14" s="116">
        <v>561200</v>
      </c>
      <c r="BO14" s="116">
        <v>105225</v>
      </c>
      <c r="BP14" s="116">
        <v>70150</v>
      </c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>
        <v>1041189</v>
      </c>
      <c r="CB14" s="116">
        <v>2157900</v>
      </c>
      <c r="CC14" s="117">
        <f t="shared" si="19"/>
        <v>4142664</v>
      </c>
      <c r="CD14" s="116"/>
      <c r="CE14" s="116"/>
      <c r="CF14" s="117">
        <f t="shared" si="12"/>
        <v>37936336</v>
      </c>
      <c r="CG14" s="116">
        <v>100000</v>
      </c>
      <c r="CH14" s="116">
        <v>23</v>
      </c>
      <c r="CI14" s="116">
        <f t="shared" si="13"/>
        <v>759000</v>
      </c>
      <c r="CJ14" s="117">
        <f t="shared" si="14"/>
        <v>38795336</v>
      </c>
    </row>
    <row r="15" spans="1:88" s="65" customFormat="1" ht="31.95" customHeight="1">
      <c r="A15" s="47">
        <v>5</v>
      </c>
      <c r="B15" s="86" t="s">
        <v>27</v>
      </c>
      <c r="C15" s="90" t="s">
        <v>24</v>
      </c>
      <c r="D15" s="4"/>
      <c r="E15" s="79"/>
      <c r="F15" s="88"/>
      <c r="G15" s="79"/>
      <c r="H15" s="79"/>
      <c r="I15" s="6"/>
      <c r="J15" s="7"/>
      <c r="K15" s="7"/>
      <c r="L15" s="7"/>
      <c r="M15" s="7"/>
      <c r="N15" s="7"/>
      <c r="O15" s="7"/>
      <c r="P15" s="16"/>
      <c r="Q15" s="8"/>
      <c r="R15" s="8"/>
      <c r="S15" s="8"/>
      <c r="T15" s="7"/>
      <c r="U15" s="7"/>
      <c r="V15" s="7"/>
      <c r="W15" s="7"/>
      <c r="X15" s="7"/>
      <c r="Y15" s="7"/>
      <c r="Z15" s="7"/>
      <c r="AA15" s="7"/>
      <c r="AB15" s="7"/>
      <c r="AC15" s="7"/>
      <c r="AD15" s="18"/>
      <c r="AE15" s="18"/>
      <c r="AF15" s="19"/>
      <c r="AG15" s="19"/>
      <c r="AH15" s="14"/>
      <c r="AI15" s="19"/>
      <c r="AJ15" s="6"/>
      <c r="AK15" s="11"/>
      <c r="AL15" s="10"/>
      <c r="AM15" s="10"/>
      <c r="AN15" s="10">
        <f>ROUND((D15)*M15/$A$5,-3)</f>
        <v>0</v>
      </c>
      <c r="AO15" s="10"/>
      <c r="AP15" s="10"/>
      <c r="AQ15" s="5"/>
      <c r="AR15" s="5"/>
      <c r="AS15" s="5"/>
      <c r="AT15" s="5"/>
      <c r="AU15" s="12"/>
      <c r="AV15" s="12"/>
      <c r="AW15" s="12"/>
      <c r="AX15" s="12"/>
      <c r="AY15" s="46"/>
      <c r="AZ15" s="17"/>
      <c r="BA15" s="10"/>
      <c r="BB15" s="10"/>
      <c r="BC15" s="10"/>
      <c r="BD15" s="10"/>
      <c r="BE15" s="10"/>
      <c r="BF15" s="13"/>
      <c r="BG15" s="11"/>
      <c r="BH15" s="89"/>
      <c r="BI15" s="89"/>
      <c r="BJ15" s="52">
        <v>5635000</v>
      </c>
      <c r="BK15" s="52"/>
      <c r="BL15" s="78">
        <f t="shared" si="10"/>
        <v>5635000</v>
      </c>
      <c r="BM15" s="100">
        <f t="shared" si="11"/>
        <v>28000</v>
      </c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7">
        <f t="shared" si="19"/>
        <v>28000</v>
      </c>
      <c r="CD15" s="116"/>
      <c r="CE15" s="116"/>
      <c r="CF15" s="117">
        <f t="shared" si="12"/>
        <v>5607000</v>
      </c>
      <c r="CG15" s="116"/>
      <c r="CH15" s="116"/>
      <c r="CI15" s="116">
        <f t="shared" si="13"/>
        <v>0</v>
      </c>
      <c r="CJ15" s="117">
        <f t="shared" si="14"/>
        <v>5607000</v>
      </c>
    </row>
    <row r="16" spans="1:88" s="65" customFormat="1" ht="31.95" customHeight="1">
      <c r="A16" s="47">
        <v>6</v>
      </c>
      <c r="B16" s="86" t="s">
        <v>46</v>
      </c>
      <c r="C16" s="90" t="s">
        <v>24</v>
      </c>
      <c r="D16" s="4">
        <v>14700000</v>
      </c>
      <c r="E16" s="79"/>
      <c r="F16" s="88">
        <v>6500000</v>
      </c>
      <c r="G16" s="79">
        <v>6830000</v>
      </c>
      <c r="H16" s="79"/>
      <c r="I16" s="6" t="str">
        <f>'[1]11. Xếp loại'!E13</f>
        <v>A</v>
      </c>
      <c r="J16" s="7">
        <f>'[1]3. Chấm công'!AR13</f>
        <v>23</v>
      </c>
      <c r="K16" s="7">
        <f>'[1]3. Chấm công'!AI13</f>
        <v>0</v>
      </c>
      <c r="L16" s="7">
        <f>'[1]3. Chấm công'!AL13</f>
        <v>0</v>
      </c>
      <c r="M16" s="7">
        <f>'[1]3. Chấm công'!AJ13</f>
        <v>0</v>
      </c>
      <c r="N16" s="7"/>
      <c r="O16" s="7">
        <f>'[1]3. Chấm công'!AK13</f>
        <v>0</v>
      </c>
      <c r="P16" s="16">
        <f>'[1]3. Chấm công'!AT13</f>
        <v>62</v>
      </c>
      <c r="Q16" s="8"/>
      <c r="R16" s="8"/>
      <c r="S16" s="8">
        <f>'[1]3. Chấm công'!AP13</f>
        <v>0</v>
      </c>
      <c r="T16" s="18">
        <f>'[1]6. THKH tháng'!BG29</f>
        <v>0</v>
      </c>
      <c r="U16" s="18">
        <f>'[1]6. THKH tháng'!BH29</f>
        <v>0</v>
      </c>
      <c r="V16" s="18"/>
      <c r="W16" s="18"/>
      <c r="X16" s="18">
        <f>'[1]6. THKH tháng'!BI28</f>
        <v>0</v>
      </c>
      <c r="Y16" s="18">
        <f>'[1]6. THKH tháng'!BJ28</f>
        <v>0</v>
      </c>
      <c r="Z16" s="18">
        <f>'[1]6. THKH tháng'!BI29</f>
        <v>0</v>
      </c>
      <c r="AA16" s="18">
        <f>'[1]6. THKH tháng'!BJ29</f>
        <v>0</v>
      </c>
      <c r="AB16" s="18">
        <f>'[1]6. THKH tháng'!BI30</f>
        <v>35.400000000000006</v>
      </c>
      <c r="AC16" s="18">
        <f>'[1]6. THKH tháng'!BJ30</f>
        <v>0</v>
      </c>
      <c r="AD16" s="18">
        <f>'[1]6. THKH tháng'!BK28</f>
        <v>88.1</v>
      </c>
      <c r="AE16" s="18">
        <f>'[1]6. THKH tháng'!BL28</f>
        <v>0</v>
      </c>
      <c r="AF16" s="19">
        <f>'[1]6. THKH tháng'!BK29</f>
        <v>0.56666666666666288</v>
      </c>
      <c r="AG16" s="19">
        <f>'[1]6. THKH tháng'!BL29</f>
        <v>0</v>
      </c>
      <c r="AH16" s="19">
        <f>'[1]6. THKH tháng'!BK30</f>
        <v>65.666666666666657</v>
      </c>
      <c r="AI16" s="19">
        <f>'[1]6. THKH tháng'!BL30</f>
        <v>0</v>
      </c>
      <c r="AJ16" s="6">
        <f t="shared" si="15"/>
        <v>6500000</v>
      </c>
      <c r="AK16" s="11">
        <f t="shared" si="5"/>
        <v>3700000</v>
      </c>
      <c r="AL16" s="10">
        <f t="shared" si="6"/>
        <v>0</v>
      </c>
      <c r="AM16" s="10"/>
      <c r="AN16" s="10">
        <f>ROUND((D16)*M16/$A$5,-3)</f>
        <v>0</v>
      </c>
      <c r="AO16" s="10">
        <f t="shared" si="16"/>
        <v>0</v>
      </c>
      <c r="AP16" s="10">
        <f t="shared" si="0"/>
        <v>0</v>
      </c>
      <c r="AQ16" s="5">
        <f t="shared" si="1"/>
        <v>19592000</v>
      </c>
      <c r="AR16" s="5">
        <f t="shared" si="2"/>
        <v>0</v>
      </c>
      <c r="AS16" s="5">
        <f>ROUND(AD16*43000+AF16*43000+AH16*43000,-3)</f>
        <v>6636000</v>
      </c>
      <c r="AT16" s="5">
        <f t="shared" si="4"/>
        <v>0</v>
      </c>
      <c r="AU16" s="12">
        <f>ROUND((X16*39000+Z16*39000+AB16*39000),-3)</f>
        <v>1381000</v>
      </c>
      <c r="AV16" s="12">
        <f>ROUND((AC16*52000+AA16*48600+Y16*52000),-3)</f>
        <v>0</v>
      </c>
      <c r="AW16" s="12">
        <f>ROUND((T16*39000+V16*39000),-3)</f>
        <v>0</v>
      </c>
      <c r="AX16" s="12">
        <f>(U16*48600+AE16*52000)</f>
        <v>0</v>
      </c>
      <c r="AY16" s="46">
        <f t="shared" si="7"/>
        <v>0</v>
      </c>
      <c r="AZ16" s="15"/>
      <c r="BA16" s="10">
        <f>E16*(J16+K16)/$A$5</f>
        <v>0</v>
      </c>
      <c r="BB16" s="10"/>
      <c r="BC16" s="10"/>
      <c r="BD16" s="10"/>
      <c r="BE16" s="10"/>
      <c r="BF16" s="13">
        <f>ROUND(SUM(AJ16:BD16)-BE16,-3)</f>
        <v>37809000</v>
      </c>
      <c r="BG16" s="11">
        <f t="shared" si="9"/>
        <v>3700000</v>
      </c>
      <c r="BH16" s="89">
        <f t="shared" si="17"/>
        <v>3700000</v>
      </c>
      <c r="BI16" s="89">
        <f t="shared" si="18"/>
        <v>0</v>
      </c>
      <c r="BJ16" s="52">
        <v>11739000</v>
      </c>
      <c r="BK16" s="52"/>
      <c r="BL16" s="78">
        <f t="shared" si="10"/>
        <v>49548000</v>
      </c>
      <c r="BM16" s="100">
        <f t="shared" si="11"/>
        <v>234000</v>
      </c>
      <c r="BN16" s="116">
        <v>546400</v>
      </c>
      <c r="BO16" s="116">
        <v>102450</v>
      </c>
      <c r="BP16" s="116">
        <v>68300</v>
      </c>
      <c r="BQ16" s="116"/>
      <c r="BR16" s="116"/>
      <c r="BS16" s="116"/>
      <c r="BT16" s="116"/>
      <c r="BU16" s="116"/>
      <c r="BV16" s="116"/>
      <c r="BW16" s="116"/>
      <c r="BX16" s="116"/>
      <c r="BY16" s="116">
        <v>2022000</v>
      </c>
      <c r="BZ16" s="116"/>
      <c r="CA16" s="116">
        <v>1886036</v>
      </c>
      <c r="CB16" s="116">
        <v>2500000</v>
      </c>
      <c r="CC16" s="117">
        <f t="shared" si="19"/>
        <v>7359186</v>
      </c>
      <c r="CD16" s="116"/>
      <c r="CE16" s="116"/>
      <c r="CF16" s="117">
        <f t="shared" si="12"/>
        <v>42188814</v>
      </c>
      <c r="CG16" s="116">
        <v>100000</v>
      </c>
      <c r="CH16" s="116">
        <v>23</v>
      </c>
      <c r="CI16" s="116">
        <f t="shared" si="13"/>
        <v>759000</v>
      </c>
      <c r="CJ16" s="117">
        <f t="shared" si="14"/>
        <v>43047814</v>
      </c>
    </row>
    <row r="17" spans="1:88" s="159" customFormat="1" ht="31.95" customHeight="1">
      <c r="A17" s="133">
        <v>7</v>
      </c>
      <c r="B17" s="134" t="s">
        <v>47</v>
      </c>
      <c r="C17" s="135" t="s">
        <v>24</v>
      </c>
      <c r="D17" s="136">
        <v>14700000</v>
      </c>
      <c r="E17" s="137"/>
      <c r="F17" s="138">
        <v>6500000</v>
      </c>
      <c r="G17" s="137">
        <v>6830000</v>
      </c>
      <c r="H17" s="137"/>
      <c r="I17" s="139" t="str">
        <f>'[1]11. Xếp loại'!E24</f>
        <v>A</v>
      </c>
      <c r="J17" s="140">
        <f>'[1]3. Chấm công'!AR14</f>
        <v>23</v>
      </c>
      <c r="K17" s="140">
        <f>'[1]3. Chấm công'!AI14</f>
        <v>0</v>
      </c>
      <c r="L17" s="140">
        <f>'[1]3. Chấm công'!AL14</f>
        <v>0</v>
      </c>
      <c r="M17" s="140">
        <f>'[1]3. Chấm công'!AJ14</f>
        <v>0</v>
      </c>
      <c r="N17" s="140"/>
      <c r="O17" s="140">
        <f>'[1]3. Chấm công'!AK14</f>
        <v>0</v>
      </c>
      <c r="P17" s="141">
        <f>'[1]3. Chấm công'!AT14</f>
        <v>62</v>
      </c>
      <c r="Q17" s="142"/>
      <c r="R17" s="142"/>
      <c r="S17" s="142">
        <f>'[1]3. Chấm công'!AP14</f>
        <v>0</v>
      </c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>
        <f>'[1]6. THKH tháng'!BK31</f>
        <v>0</v>
      </c>
      <c r="AE17" s="143">
        <f>'[1]6. THKH tháng'!BL31</f>
        <v>0</v>
      </c>
      <c r="AF17" s="144">
        <f>'[1]6. THKH tháng'!BK32</f>
        <v>94</v>
      </c>
      <c r="AG17" s="144">
        <f>'[1]6. THKH tháng'!BL32</f>
        <v>0</v>
      </c>
      <c r="AH17" s="144">
        <f>'[1]6. THKH tháng'!BK33</f>
        <v>15.266666666666666</v>
      </c>
      <c r="AI17" s="144">
        <f>'[1]6. THKH tháng'!BL33</f>
        <v>0</v>
      </c>
      <c r="AJ17" s="139">
        <f t="shared" si="15"/>
        <v>6500000</v>
      </c>
      <c r="AK17" s="145">
        <f t="shared" si="5"/>
        <v>3700000</v>
      </c>
      <c r="AL17" s="146">
        <f t="shared" si="6"/>
        <v>0</v>
      </c>
      <c r="AM17" s="146"/>
      <c r="AN17" s="146"/>
      <c r="AO17" s="146">
        <f t="shared" si="16"/>
        <v>0</v>
      </c>
      <c r="AP17" s="147"/>
      <c r="AQ17" s="148">
        <f t="shared" si="1"/>
        <v>19592000</v>
      </c>
      <c r="AR17" s="148"/>
      <c r="AS17" s="148">
        <f t="shared" si="3"/>
        <v>4698000</v>
      </c>
      <c r="AT17" s="148">
        <f t="shared" si="4"/>
        <v>0</v>
      </c>
      <c r="AU17" s="149"/>
      <c r="AV17" s="149"/>
      <c r="AW17" s="149"/>
      <c r="AX17" s="149"/>
      <c r="AY17" s="150">
        <f t="shared" si="7"/>
        <v>0</v>
      </c>
      <c r="AZ17" s="151"/>
      <c r="BA17" s="146"/>
      <c r="BB17" s="146"/>
      <c r="BC17" s="146"/>
      <c r="BD17" s="146"/>
      <c r="BE17" s="146"/>
      <c r="BF17" s="152">
        <f t="shared" si="8"/>
        <v>34490000</v>
      </c>
      <c r="BG17" s="145">
        <f t="shared" si="9"/>
        <v>3700000</v>
      </c>
      <c r="BH17" s="153">
        <f t="shared" si="17"/>
        <v>3700000</v>
      </c>
      <c r="BI17" s="153">
        <f t="shared" si="18"/>
        <v>0</v>
      </c>
      <c r="BJ17" s="154">
        <v>8887000</v>
      </c>
      <c r="BK17" s="154"/>
      <c r="BL17" s="155">
        <f t="shared" si="10"/>
        <v>43377000</v>
      </c>
      <c r="BM17" s="156">
        <f t="shared" si="11"/>
        <v>213000</v>
      </c>
      <c r="BN17" s="157">
        <v>546400</v>
      </c>
      <c r="BO17" s="157">
        <v>102450</v>
      </c>
      <c r="BP17" s="157">
        <v>68300</v>
      </c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>
        <v>1667700</v>
      </c>
      <c r="CC17" s="158">
        <f t="shared" si="19"/>
        <v>2597850</v>
      </c>
      <c r="CD17" s="157"/>
      <c r="CE17" s="157"/>
      <c r="CF17" s="158">
        <f t="shared" si="12"/>
        <v>40779150</v>
      </c>
      <c r="CG17" s="157">
        <v>100000</v>
      </c>
      <c r="CH17" s="157">
        <v>23</v>
      </c>
      <c r="CI17" s="157">
        <f t="shared" si="13"/>
        <v>759000</v>
      </c>
      <c r="CJ17" s="158">
        <f t="shared" si="14"/>
        <v>41638150</v>
      </c>
    </row>
    <row r="18" spans="1:88" s="65" customFormat="1" ht="31.95" customHeight="1">
      <c r="A18" s="47">
        <v>8</v>
      </c>
      <c r="B18" s="86" t="s">
        <v>22</v>
      </c>
      <c r="C18" s="87" t="s">
        <v>54</v>
      </c>
      <c r="D18" s="4">
        <v>14200000</v>
      </c>
      <c r="E18" s="79">
        <v>420000</v>
      </c>
      <c r="F18" s="88">
        <v>6500000</v>
      </c>
      <c r="G18" s="79">
        <v>6490000</v>
      </c>
      <c r="H18" s="79">
        <v>420000</v>
      </c>
      <c r="I18" s="6" t="str">
        <f>'[1]11. Xếp loại'!E15</f>
        <v>A</v>
      </c>
      <c r="J18" s="7">
        <f>'[1]3. Chấm công'!AR15</f>
        <v>23</v>
      </c>
      <c r="K18" s="7">
        <f>'[1]3. Chấm công'!AI15</f>
        <v>0</v>
      </c>
      <c r="L18" s="7">
        <f>'[1]3. Chấm công'!AL15</f>
        <v>0</v>
      </c>
      <c r="M18" s="7">
        <f>'[1]3. Chấm công'!AJ15</f>
        <v>0</v>
      </c>
      <c r="N18" s="7"/>
      <c r="O18" s="7">
        <f>'[1]3. Chấm công'!AK15</f>
        <v>0</v>
      </c>
      <c r="P18" s="16">
        <f>'[1]3. Chấm công'!AT15</f>
        <v>52.25</v>
      </c>
      <c r="Q18" s="16"/>
      <c r="R18" s="16"/>
      <c r="S18" s="8">
        <f>'[1]3. Chấm công'!AP15</f>
        <v>0</v>
      </c>
      <c r="T18" s="18">
        <f>'[1]6. THKH tháng'!BG35</f>
        <v>0</v>
      </c>
      <c r="U18" s="18">
        <f>'[1]6. THKH tháng'!BH35</f>
        <v>0</v>
      </c>
      <c r="V18" s="18"/>
      <c r="W18" s="18"/>
      <c r="X18" s="18">
        <f>'[1]6. THKH tháng'!BI34</f>
        <v>0</v>
      </c>
      <c r="Y18" s="18">
        <f>'[1]6. THKH tháng'!BJ34</f>
        <v>0</v>
      </c>
      <c r="Z18" s="18">
        <f>'[1]6. THKH tháng'!BI35</f>
        <v>0</v>
      </c>
      <c r="AA18" s="18">
        <f>'[1]6. THKH tháng'!BJ35</f>
        <v>0</v>
      </c>
      <c r="AB18" s="18">
        <f>'[1]6. THKH tháng'!BI36</f>
        <v>0</v>
      </c>
      <c r="AC18" s="18">
        <f>'[1]6. THKH tháng'!BJ36</f>
        <v>0</v>
      </c>
      <c r="AD18" s="7">
        <f>'[1]6. THKH tháng'!BK34</f>
        <v>0</v>
      </c>
      <c r="AE18" s="7">
        <f>'[1]6. THKH tháng'!BL34</f>
        <v>0</v>
      </c>
      <c r="AF18" s="19">
        <f>'[1]6. THKH tháng'!BK35</f>
        <v>12.799999999999997</v>
      </c>
      <c r="AG18" s="19">
        <f>'[1]6. THKH tháng'!BL35</f>
        <v>0</v>
      </c>
      <c r="AH18" s="19">
        <f>'[1]6. THKH tháng'!BK36</f>
        <v>8</v>
      </c>
      <c r="AI18" s="19">
        <f>'[1]6. THKH tháng'!BL36</f>
        <v>0</v>
      </c>
      <c r="AJ18" s="6">
        <f t="shared" si="15"/>
        <v>6500000</v>
      </c>
      <c r="AK18" s="11">
        <f t="shared" si="5"/>
        <v>3200000</v>
      </c>
      <c r="AL18" s="10">
        <f t="shared" si="6"/>
        <v>0</v>
      </c>
      <c r="AM18" s="10"/>
      <c r="AN18" s="10">
        <f t="shared" ref="AN18:AN27" si="20">ROUND((D18)*M18/$A$5,-3)</f>
        <v>0</v>
      </c>
      <c r="AO18" s="10">
        <f t="shared" si="16"/>
        <v>0</v>
      </c>
      <c r="AP18" s="91">
        <f t="shared" ref="AP18:AP27" si="21">ROUND(G18*N18/$A$5*85%,-3)</f>
        <v>0</v>
      </c>
      <c r="AQ18" s="5">
        <f t="shared" si="1"/>
        <v>16511000</v>
      </c>
      <c r="AR18" s="5">
        <f t="shared" ref="AR18:AR27" si="22">ROUND(Q18*301000,-3)</f>
        <v>0</v>
      </c>
      <c r="AS18" s="5">
        <f t="shared" si="3"/>
        <v>894000</v>
      </c>
      <c r="AT18" s="5">
        <f t="shared" si="4"/>
        <v>0</v>
      </c>
      <c r="AU18" s="12">
        <f t="shared" ref="AU18:AU27" si="23">ROUND((X18*39000+Z18*39000+AB18*39000),-3)</f>
        <v>0</v>
      </c>
      <c r="AV18" s="12">
        <f t="shared" ref="AV18:AV27" si="24">ROUND((AC18*52000+AA18*48600+Y18*52000),-3)</f>
        <v>0</v>
      </c>
      <c r="AW18" s="12">
        <f t="shared" ref="AW18:AW27" si="25">ROUND((T18*39000+V18*39000),-3)</f>
        <v>0</v>
      </c>
      <c r="AX18" s="12">
        <f t="shared" ref="AX18:AX27" si="26">(U18*48600+AE18*52000)</f>
        <v>0</v>
      </c>
      <c r="AY18" s="46">
        <f t="shared" si="7"/>
        <v>0</v>
      </c>
      <c r="AZ18" s="4">
        <v>420000</v>
      </c>
      <c r="BA18" s="4"/>
      <c r="BB18" s="10">
        <f>'[1]12. Tuyển sinh'!O15</f>
        <v>0</v>
      </c>
      <c r="BC18" s="10"/>
      <c r="BD18" s="10"/>
      <c r="BE18" s="20"/>
      <c r="BF18" s="13">
        <f t="shared" si="8"/>
        <v>27525000</v>
      </c>
      <c r="BG18" s="11">
        <f t="shared" si="9"/>
        <v>3200000</v>
      </c>
      <c r="BH18" s="89">
        <f t="shared" si="17"/>
        <v>3200000</v>
      </c>
      <c r="BI18" s="89">
        <f t="shared" si="18"/>
        <v>0</v>
      </c>
      <c r="BJ18" s="80">
        <v>11163000</v>
      </c>
      <c r="BK18" s="53"/>
      <c r="BL18" s="78">
        <f t="shared" si="10"/>
        <v>38688000</v>
      </c>
      <c r="BM18" s="100">
        <f t="shared" si="11"/>
        <v>190000</v>
      </c>
      <c r="BN18" s="116">
        <v>552800</v>
      </c>
      <c r="BO18" s="116">
        <v>103650</v>
      </c>
      <c r="BP18" s="116">
        <v>69100</v>
      </c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>
        <v>5264972</v>
      </c>
      <c r="CB18" s="116">
        <v>1198800</v>
      </c>
      <c r="CC18" s="117">
        <f t="shared" si="19"/>
        <v>7379322</v>
      </c>
      <c r="CD18" s="116"/>
      <c r="CE18" s="116"/>
      <c r="CF18" s="117">
        <f t="shared" si="12"/>
        <v>31308678</v>
      </c>
      <c r="CG18" s="116">
        <v>100000</v>
      </c>
      <c r="CH18" s="116">
        <v>23</v>
      </c>
      <c r="CI18" s="116">
        <f t="shared" si="13"/>
        <v>759000</v>
      </c>
      <c r="CJ18" s="117">
        <f t="shared" si="14"/>
        <v>32167678</v>
      </c>
    </row>
    <row r="19" spans="1:88" s="65" customFormat="1" ht="31.95" customHeight="1">
      <c r="A19" s="47">
        <v>9</v>
      </c>
      <c r="B19" s="93" t="s">
        <v>55</v>
      </c>
      <c r="C19" s="90" t="s">
        <v>24</v>
      </c>
      <c r="D19" s="4">
        <v>13690000</v>
      </c>
      <c r="E19" s="7"/>
      <c r="F19" s="88">
        <v>6500000</v>
      </c>
      <c r="G19" s="79">
        <v>6180000</v>
      </c>
      <c r="H19" s="79"/>
      <c r="I19" s="6" t="str">
        <f>'[1]11. Xếp loại'!E16</f>
        <v>A</v>
      </c>
      <c r="J19" s="7">
        <f>'[1]3. Chấm công'!AR16</f>
        <v>23</v>
      </c>
      <c r="K19" s="7">
        <f>'[1]3. Chấm công'!AI16</f>
        <v>0</v>
      </c>
      <c r="L19" s="7">
        <f>'[1]3. Chấm công'!AL16</f>
        <v>0</v>
      </c>
      <c r="M19" s="7">
        <f>'[1]3. Chấm công'!AJ16</f>
        <v>0</v>
      </c>
      <c r="N19" s="7"/>
      <c r="O19" s="7">
        <f>'[1]3. Chấm công'!AK16</f>
        <v>0</v>
      </c>
      <c r="P19" s="16">
        <f>'[1]3. Chấm công'!AT16</f>
        <v>62</v>
      </c>
      <c r="Q19" s="16"/>
      <c r="R19" s="16"/>
      <c r="S19" s="8">
        <f>'[1]3. Chấm công'!AP16</f>
        <v>0</v>
      </c>
      <c r="T19" s="18">
        <f>'[1]6. THKH tháng'!BG38</f>
        <v>0</v>
      </c>
      <c r="U19" s="18">
        <f>'[1]6. THKH tháng'!BH38</f>
        <v>0</v>
      </c>
      <c r="V19" s="18">
        <f>'[1]6. THKH tháng'!BG39</f>
        <v>0</v>
      </c>
      <c r="W19" s="18">
        <f>'[1]6. THKH tháng'!BH39</f>
        <v>0</v>
      </c>
      <c r="X19" s="18">
        <f>'[1]6. THKH tháng'!BI37</f>
        <v>0</v>
      </c>
      <c r="Y19" s="18">
        <f>'[1]6. THKH tháng'!BJ37</f>
        <v>0</v>
      </c>
      <c r="Z19" s="18">
        <f>'[1]6. THKH tháng'!BI38</f>
        <v>0</v>
      </c>
      <c r="AA19" s="18">
        <f>'[1]6. THKH tháng'!BJ38</f>
        <v>0</v>
      </c>
      <c r="AB19" s="18">
        <f>'[1]6. THKH tháng'!BI39</f>
        <v>0</v>
      </c>
      <c r="AC19" s="18">
        <f>'[1]6. THKH tháng'!BJ39</f>
        <v>0</v>
      </c>
      <c r="AD19" s="18">
        <f>'[1]6. THKH tháng'!BK37</f>
        <v>0</v>
      </c>
      <c r="AE19" s="7">
        <f>'[1]6. THKH tháng'!BL37</f>
        <v>0</v>
      </c>
      <c r="AF19" s="19">
        <f>'[1]6. THKH tháng'!BK38</f>
        <v>19.799999999999997</v>
      </c>
      <c r="AG19" s="19">
        <f>'[1]6. THKH tháng'!BL38</f>
        <v>0</v>
      </c>
      <c r="AH19" s="19">
        <f>'[1]6. THKH tháng'!BK39</f>
        <v>30</v>
      </c>
      <c r="AI19" s="19">
        <f>'[1]6. THKH tháng'!BL39</f>
        <v>0</v>
      </c>
      <c r="AJ19" s="6">
        <f t="shared" si="15"/>
        <v>6500000</v>
      </c>
      <c r="AK19" s="11">
        <f t="shared" si="5"/>
        <v>2690000</v>
      </c>
      <c r="AL19" s="10">
        <f t="shared" si="6"/>
        <v>0</v>
      </c>
      <c r="AM19" s="10"/>
      <c r="AN19" s="10">
        <f t="shared" si="20"/>
        <v>0</v>
      </c>
      <c r="AO19" s="10">
        <f t="shared" si="16"/>
        <v>0</v>
      </c>
      <c r="AP19" s="10">
        <f t="shared" si="21"/>
        <v>0</v>
      </c>
      <c r="AQ19" s="5">
        <f>ROUND(P19*316000,-3)+ROUND(O19*316000,-3)</f>
        <v>19592000</v>
      </c>
      <c r="AR19" s="5">
        <f t="shared" si="22"/>
        <v>0</v>
      </c>
      <c r="AS19" s="5">
        <f t="shared" si="3"/>
        <v>2141000</v>
      </c>
      <c r="AT19" s="5">
        <f t="shared" si="4"/>
        <v>0</v>
      </c>
      <c r="AU19" s="12">
        <f t="shared" si="23"/>
        <v>0</v>
      </c>
      <c r="AV19" s="12">
        <f t="shared" si="24"/>
        <v>0</v>
      </c>
      <c r="AW19" s="12">
        <f t="shared" si="25"/>
        <v>0</v>
      </c>
      <c r="AX19" s="12">
        <f t="shared" si="26"/>
        <v>0</v>
      </c>
      <c r="AY19" s="46">
        <f t="shared" si="7"/>
        <v>0</v>
      </c>
      <c r="AZ19" s="15"/>
      <c r="BA19" s="10">
        <f t="shared" ref="BA19:BA27" si="27">E19*(J19+K19)/$A$5</f>
        <v>0</v>
      </c>
      <c r="BB19" s="10">
        <f>'[1]12. Tuyển sinh'!O12</f>
        <v>0</v>
      </c>
      <c r="BC19" s="10"/>
      <c r="BD19" s="10"/>
      <c r="BE19" s="20"/>
      <c r="BF19" s="13">
        <f t="shared" si="8"/>
        <v>30923000</v>
      </c>
      <c r="BG19" s="11">
        <f t="shared" si="9"/>
        <v>2690000</v>
      </c>
      <c r="BH19" s="89">
        <f t="shared" si="17"/>
        <v>2690000</v>
      </c>
      <c r="BI19" s="89">
        <f t="shared" si="18"/>
        <v>0</v>
      </c>
      <c r="BJ19" s="80">
        <v>9674000</v>
      </c>
      <c r="BK19" s="53"/>
      <c r="BL19" s="78">
        <f t="shared" si="10"/>
        <v>40597000</v>
      </c>
      <c r="BM19" s="100">
        <f t="shared" si="11"/>
        <v>200000</v>
      </c>
      <c r="BN19" s="116">
        <v>494400</v>
      </c>
      <c r="BO19" s="116">
        <v>92700</v>
      </c>
      <c r="BP19" s="116">
        <v>61800</v>
      </c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>
        <v>678528</v>
      </c>
      <c r="CB19" s="116">
        <v>2009700</v>
      </c>
      <c r="CC19" s="117">
        <f t="shared" si="19"/>
        <v>3537128</v>
      </c>
      <c r="CD19" s="116">
        <v>80000</v>
      </c>
      <c r="CE19" s="116"/>
      <c r="CF19" s="117">
        <f t="shared" si="12"/>
        <v>37139872</v>
      </c>
      <c r="CG19" s="116">
        <v>100000</v>
      </c>
      <c r="CH19" s="116">
        <v>23</v>
      </c>
      <c r="CI19" s="116">
        <f t="shared" si="13"/>
        <v>759000</v>
      </c>
      <c r="CJ19" s="117">
        <f t="shared" si="14"/>
        <v>37998872</v>
      </c>
    </row>
    <row r="20" spans="1:88" s="66" customFormat="1" ht="31.95" customHeight="1">
      <c r="A20" s="47">
        <v>10</v>
      </c>
      <c r="B20" s="93" t="s">
        <v>57</v>
      </c>
      <c r="C20" s="90" t="s">
        <v>24</v>
      </c>
      <c r="D20" s="4">
        <v>13690000</v>
      </c>
      <c r="E20" s="7"/>
      <c r="F20" s="88">
        <v>6500000</v>
      </c>
      <c r="G20" s="79">
        <v>6180000</v>
      </c>
      <c r="H20" s="79"/>
      <c r="I20" s="6" t="str">
        <f>'[1]11. Xếp loại'!E17</f>
        <v>A</v>
      </c>
      <c r="J20" s="7">
        <f>'[1]3. Chấm công'!AR17</f>
        <v>23</v>
      </c>
      <c r="K20" s="7">
        <f>'[1]3. Chấm công'!AI17</f>
        <v>0</v>
      </c>
      <c r="L20" s="7">
        <f>'[1]3. Chấm công'!AL17</f>
        <v>0</v>
      </c>
      <c r="M20" s="7">
        <f>'[1]3. Chấm công'!AJ17</f>
        <v>0</v>
      </c>
      <c r="N20" s="7"/>
      <c r="O20" s="7">
        <f>'[1]3. Chấm công'!AK17</f>
        <v>0</v>
      </c>
      <c r="P20" s="16">
        <f>'[1]3. Chấm công'!AT17</f>
        <v>49.25</v>
      </c>
      <c r="Q20" s="8"/>
      <c r="R20" s="8"/>
      <c r="S20" s="8">
        <f>'[1]3. Chấm công'!AP17</f>
        <v>0</v>
      </c>
      <c r="T20" s="18">
        <f>'[1]6. THKH tháng'!BG41</f>
        <v>0</v>
      </c>
      <c r="U20" s="18">
        <f>'[1]6. THKH tháng'!BH41</f>
        <v>0</v>
      </c>
      <c r="V20" s="18">
        <f>'[1]6. THKH tháng'!BG42</f>
        <v>0</v>
      </c>
      <c r="W20" s="18">
        <f>'[1]6. THKH tháng'!BH42</f>
        <v>0</v>
      </c>
      <c r="X20" s="18">
        <f>'[1]6. THKH tháng'!BI40</f>
        <v>0</v>
      </c>
      <c r="Y20" s="18">
        <f>'[1]6. THKH tháng'!BJ40</f>
        <v>0</v>
      </c>
      <c r="Z20" s="18">
        <f>'[1]6. THKH tháng'!BI41</f>
        <v>0</v>
      </c>
      <c r="AA20" s="18">
        <f>'[1]6. THKH tháng'!BJ41</f>
        <v>0</v>
      </c>
      <c r="AB20" s="18">
        <f>'[1]6. THKH tháng'!BI42</f>
        <v>0</v>
      </c>
      <c r="AC20" s="18">
        <f>'[1]6. THKH tháng'!BJ42</f>
        <v>0</v>
      </c>
      <c r="AD20" s="7">
        <f>'[1]6. THKH tháng'!BK40</f>
        <v>0</v>
      </c>
      <c r="AE20" s="7">
        <f>'[1]6. THKH tháng'!BL40</f>
        <v>0</v>
      </c>
      <c r="AF20" s="19">
        <f>'[1]6. THKH tháng'!BK41</f>
        <v>16</v>
      </c>
      <c r="AG20" s="19">
        <f>'[1]6. THKH tháng'!BL41</f>
        <v>0</v>
      </c>
      <c r="AH20" s="19">
        <f>'[1]6. THKH tháng'!BK42</f>
        <v>0</v>
      </c>
      <c r="AI20" s="19">
        <f>'[1]6. THKH tháng'!BL42</f>
        <v>0</v>
      </c>
      <c r="AJ20" s="6">
        <f t="shared" si="15"/>
        <v>6500000</v>
      </c>
      <c r="AK20" s="11">
        <f t="shared" si="5"/>
        <v>2690000</v>
      </c>
      <c r="AL20" s="10">
        <f t="shared" si="6"/>
        <v>0</v>
      </c>
      <c r="AM20" s="10"/>
      <c r="AN20" s="10">
        <f t="shared" si="20"/>
        <v>0</v>
      </c>
      <c r="AO20" s="10">
        <f t="shared" si="16"/>
        <v>0</v>
      </c>
      <c r="AP20" s="10">
        <f t="shared" si="21"/>
        <v>0</v>
      </c>
      <c r="AQ20" s="5">
        <f t="shared" si="1"/>
        <v>15563000</v>
      </c>
      <c r="AR20" s="5">
        <f t="shared" si="22"/>
        <v>0</v>
      </c>
      <c r="AS20" s="5">
        <f t="shared" si="3"/>
        <v>688000</v>
      </c>
      <c r="AT20" s="5">
        <f t="shared" si="4"/>
        <v>0</v>
      </c>
      <c r="AU20" s="12">
        <f t="shared" si="23"/>
        <v>0</v>
      </c>
      <c r="AV20" s="12">
        <f t="shared" si="24"/>
        <v>0</v>
      </c>
      <c r="AW20" s="12">
        <f t="shared" si="25"/>
        <v>0</v>
      </c>
      <c r="AX20" s="12">
        <f t="shared" si="26"/>
        <v>0</v>
      </c>
      <c r="AY20" s="46">
        <f t="shared" si="7"/>
        <v>0</v>
      </c>
      <c r="AZ20" s="15"/>
      <c r="BA20" s="10">
        <f t="shared" si="27"/>
        <v>0</v>
      </c>
      <c r="BB20" s="6"/>
      <c r="BC20" s="6"/>
      <c r="BD20" s="6"/>
      <c r="BE20" s="20"/>
      <c r="BF20" s="13">
        <f t="shared" si="8"/>
        <v>25441000</v>
      </c>
      <c r="BG20" s="11">
        <f t="shared" si="9"/>
        <v>2690000</v>
      </c>
      <c r="BH20" s="89">
        <f t="shared" si="17"/>
        <v>2690000</v>
      </c>
      <c r="BI20" s="89">
        <f t="shared" si="18"/>
        <v>0</v>
      </c>
      <c r="BJ20" s="80">
        <v>10572000</v>
      </c>
      <c r="BK20" s="80"/>
      <c r="BL20" s="78">
        <f t="shared" si="10"/>
        <v>36013000</v>
      </c>
      <c r="BM20" s="100">
        <f t="shared" si="11"/>
        <v>177000</v>
      </c>
      <c r="BN20" s="116">
        <v>494400</v>
      </c>
      <c r="BO20" s="116">
        <v>92700</v>
      </c>
      <c r="BP20" s="116">
        <v>61800</v>
      </c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>
        <v>1504018</v>
      </c>
      <c r="CB20" s="116"/>
      <c r="CC20" s="117">
        <f t="shared" si="19"/>
        <v>2329918</v>
      </c>
      <c r="CD20" s="116"/>
      <c r="CE20" s="116"/>
      <c r="CF20" s="117">
        <f t="shared" si="12"/>
        <v>33683082</v>
      </c>
      <c r="CG20" s="116">
        <v>100000</v>
      </c>
      <c r="CH20" s="116">
        <v>23</v>
      </c>
      <c r="CI20" s="116">
        <f t="shared" si="13"/>
        <v>759000</v>
      </c>
      <c r="CJ20" s="117">
        <f t="shared" si="14"/>
        <v>34542082</v>
      </c>
    </row>
    <row r="21" spans="1:88" s="66" customFormat="1" ht="31.95" customHeight="1">
      <c r="A21" s="47">
        <v>11</v>
      </c>
      <c r="B21" s="93" t="s">
        <v>60</v>
      </c>
      <c r="C21" s="90" t="s">
        <v>24</v>
      </c>
      <c r="D21" s="4">
        <v>14200000</v>
      </c>
      <c r="E21" s="7"/>
      <c r="F21" s="88">
        <v>6500000</v>
      </c>
      <c r="G21" s="79">
        <v>6490000</v>
      </c>
      <c r="H21" s="79"/>
      <c r="I21" s="6" t="str">
        <f>'[1]11. Xếp loại'!E18</f>
        <v>A</v>
      </c>
      <c r="J21" s="7">
        <f>'[1]3. Chấm công'!AR18</f>
        <v>23</v>
      </c>
      <c r="K21" s="7">
        <f>'[1]3. Chấm công'!AI18</f>
        <v>0</v>
      </c>
      <c r="L21" s="7">
        <f>'[1]3. Chấm công'!AL18</f>
        <v>0</v>
      </c>
      <c r="M21" s="7">
        <f>'[1]3. Chấm công'!AJ18</f>
        <v>0</v>
      </c>
      <c r="N21" s="7"/>
      <c r="O21" s="7">
        <f>'[1]3. Chấm công'!AK18</f>
        <v>0</v>
      </c>
      <c r="P21" s="16">
        <f>'[1]3. Chấm công'!AT18</f>
        <v>0</v>
      </c>
      <c r="Q21" s="8"/>
      <c r="R21" s="8"/>
      <c r="S21" s="8">
        <f>'[1]3. Chấm công'!AP18</f>
        <v>0</v>
      </c>
      <c r="T21" s="18">
        <f>'[1]6. THKH tháng'!BG44</f>
        <v>0</v>
      </c>
      <c r="U21" s="18">
        <f>'[1]6. THKH tháng'!BH44</f>
        <v>0</v>
      </c>
      <c r="V21" s="18">
        <f>'[1]6. THKH tháng'!BG45</f>
        <v>0</v>
      </c>
      <c r="W21" s="18">
        <f>'[1]6. THKH tháng'!BH45</f>
        <v>0</v>
      </c>
      <c r="X21" s="18">
        <f>'[1]6. THKH tháng'!BI43</f>
        <v>0</v>
      </c>
      <c r="Y21" s="18">
        <f>'[1]6. THKH tháng'!BJ43</f>
        <v>0</v>
      </c>
      <c r="Z21" s="18">
        <f>'[1]6. THKH tháng'!BI44</f>
        <v>0</v>
      </c>
      <c r="AA21" s="18">
        <f>'[1]6. THKH tháng'!BJ44</f>
        <v>0</v>
      </c>
      <c r="AB21" s="18">
        <f>'[1]6. THKH tháng'!BI45</f>
        <v>0</v>
      </c>
      <c r="AC21" s="18">
        <f>'[1]6. THKH tháng'!BJ45</f>
        <v>0</v>
      </c>
      <c r="AD21" s="7">
        <f>'[1]6. THKH tháng'!BK43</f>
        <v>0</v>
      </c>
      <c r="AE21" s="7">
        <f>'[1]6. THKH tháng'!BL43</f>
        <v>0</v>
      </c>
      <c r="AF21" s="19">
        <f>'[1]6. THKH tháng'!BK44</f>
        <v>59</v>
      </c>
      <c r="AG21" s="19">
        <f>'[1]6. THKH tháng'!BL44</f>
        <v>0</v>
      </c>
      <c r="AH21" s="19">
        <f>'[1]6. THKH tháng'!BK45</f>
        <v>22.5</v>
      </c>
      <c r="AI21" s="19">
        <f>'[1]6. THKH tháng'!BL45</f>
        <v>0</v>
      </c>
      <c r="AJ21" s="6">
        <f t="shared" si="15"/>
        <v>6500000</v>
      </c>
      <c r="AK21" s="11">
        <f t="shared" si="5"/>
        <v>3200000</v>
      </c>
      <c r="AL21" s="10">
        <f t="shared" si="6"/>
        <v>0</v>
      </c>
      <c r="AM21" s="10"/>
      <c r="AN21" s="10">
        <f t="shared" si="20"/>
        <v>0</v>
      </c>
      <c r="AO21" s="10">
        <f t="shared" si="16"/>
        <v>0</v>
      </c>
      <c r="AP21" s="10">
        <f t="shared" si="21"/>
        <v>0</v>
      </c>
      <c r="AQ21" s="5">
        <f t="shared" si="1"/>
        <v>0</v>
      </c>
      <c r="AR21" s="5">
        <f t="shared" si="22"/>
        <v>0</v>
      </c>
      <c r="AS21" s="5">
        <f t="shared" si="3"/>
        <v>3505000</v>
      </c>
      <c r="AT21" s="5">
        <f t="shared" si="4"/>
        <v>0</v>
      </c>
      <c r="AU21" s="12">
        <f t="shared" si="23"/>
        <v>0</v>
      </c>
      <c r="AV21" s="12">
        <f t="shared" si="24"/>
        <v>0</v>
      </c>
      <c r="AW21" s="12">
        <f t="shared" si="25"/>
        <v>0</v>
      </c>
      <c r="AX21" s="12">
        <f t="shared" si="26"/>
        <v>0</v>
      </c>
      <c r="AY21" s="46">
        <f t="shared" si="7"/>
        <v>0</v>
      </c>
      <c r="AZ21" s="15"/>
      <c r="BA21" s="10">
        <f t="shared" si="27"/>
        <v>0</v>
      </c>
      <c r="BB21" s="6"/>
      <c r="BC21" s="6">
        <f>'[1]12. Tuyển sinh'!O10</f>
        <v>0</v>
      </c>
      <c r="BD21" s="6"/>
      <c r="BE21" s="20"/>
      <c r="BF21" s="13">
        <f t="shared" si="8"/>
        <v>13205000</v>
      </c>
      <c r="BG21" s="11">
        <f t="shared" si="9"/>
        <v>3200000</v>
      </c>
      <c r="BH21" s="89">
        <f t="shared" si="17"/>
        <v>3200000</v>
      </c>
      <c r="BI21" s="89">
        <f t="shared" si="18"/>
        <v>0</v>
      </c>
      <c r="BJ21" s="80">
        <v>11163000</v>
      </c>
      <c r="BK21" s="80"/>
      <c r="BL21" s="78">
        <f t="shared" si="10"/>
        <v>24368000</v>
      </c>
      <c r="BM21" s="100">
        <f t="shared" si="11"/>
        <v>118000</v>
      </c>
      <c r="BN21" s="116">
        <v>519200</v>
      </c>
      <c r="BO21" s="116">
        <v>97350</v>
      </c>
      <c r="BP21" s="116">
        <v>64900</v>
      </c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7">
        <f t="shared" si="19"/>
        <v>799450</v>
      </c>
      <c r="CD21" s="116"/>
      <c r="CE21" s="116"/>
      <c r="CF21" s="117">
        <f t="shared" si="12"/>
        <v>23568550</v>
      </c>
      <c r="CG21" s="116">
        <v>100000</v>
      </c>
      <c r="CH21" s="116">
        <v>23</v>
      </c>
      <c r="CI21" s="116">
        <f t="shared" si="13"/>
        <v>759000</v>
      </c>
      <c r="CJ21" s="117">
        <f t="shared" si="14"/>
        <v>24427550</v>
      </c>
    </row>
    <row r="22" spans="1:88" s="66" customFormat="1" ht="31.95" customHeight="1">
      <c r="A22" s="47">
        <v>12</v>
      </c>
      <c r="B22" s="93" t="s">
        <v>61</v>
      </c>
      <c r="C22" s="90" t="s">
        <v>24</v>
      </c>
      <c r="D22" s="4">
        <v>14200000</v>
      </c>
      <c r="E22" s="7"/>
      <c r="F22" s="88">
        <v>6500000</v>
      </c>
      <c r="G22" s="79">
        <v>6490000</v>
      </c>
      <c r="H22" s="79"/>
      <c r="I22" s="6" t="s">
        <v>21</v>
      </c>
      <c r="J22" s="7">
        <f>'[1]3. Chấm công'!AR19</f>
        <v>23</v>
      </c>
      <c r="K22" s="7">
        <f>'[1]3. Chấm công'!AI19</f>
        <v>0</v>
      </c>
      <c r="L22" s="7">
        <f>'[1]3. Chấm công'!AL19</f>
        <v>0</v>
      </c>
      <c r="M22" s="7">
        <f>'[1]3. Chấm công'!AJ19</f>
        <v>0</v>
      </c>
      <c r="N22" s="7"/>
      <c r="O22" s="7">
        <f>'[1]3. Chấm công'!AK19</f>
        <v>0</v>
      </c>
      <c r="P22" s="16">
        <f>'[1]3. Chấm công'!AT19</f>
        <v>0</v>
      </c>
      <c r="Q22" s="8"/>
      <c r="R22" s="8"/>
      <c r="S22" s="5">
        <f>'[1]3. Chấm công'!AP19</f>
        <v>0</v>
      </c>
      <c r="T22" s="18">
        <f>'[1]6. THKH tháng'!BG47</f>
        <v>0</v>
      </c>
      <c r="U22" s="18">
        <f>'[1]6. THKH tháng'!BH47</f>
        <v>0</v>
      </c>
      <c r="V22" s="18">
        <f>'[1]6. THKH tháng'!BG48</f>
        <v>0</v>
      </c>
      <c r="W22" s="18">
        <f>'[1]6. THKH tháng'!BH48</f>
        <v>0</v>
      </c>
      <c r="X22" s="18">
        <f>'[1]6. THKH tháng'!BI46</f>
        <v>0</v>
      </c>
      <c r="Y22" s="18">
        <f>'[1]6. THKH tháng'!BJ46</f>
        <v>0</v>
      </c>
      <c r="Z22" s="18">
        <f>'[1]6. THKH tháng'!BI47</f>
        <v>0</v>
      </c>
      <c r="AA22" s="18">
        <f>'[1]6. THKH tháng'!BJ47</f>
        <v>0</v>
      </c>
      <c r="AB22" s="18">
        <f>'[1]6. THKH tháng'!BI48</f>
        <v>0</v>
      </c>
      <c r="AC22" s="18">
        <f>'[1]6. THKH tháng'!BJ48</f>
        <v>0</v>
      </c>
      <c r="AD22" s="7">
        <f>'[1]6. THKH tháng'!BK46</f>
        <v>0</v>
      </c>
      <c r="AE22" s="7">
        <f>'[1]6. THKH tháng'!BL46</f>
        <v>0</v>
      </c>
      <c r="AF22" s="19">
        <f>'[1]6. THKH tháng'!BK47</f>
        <v>0</v>
      </c>
      <c r="AG22" s="19">
        <f>'[1]6. THKH tháng'!BL47</f>
        <v>0</v>
      </c>
      <c r="AH22" s="19">
        <f>'[1]6. THKH tháng'!BK48</f>
        <v>112.38333333333333</v>
      </c>
      <c r="AI22" s="19">
        <f>'[1]6. THKH tháng'!BL48</f>
        <v>0</v>
      </c>
      <c r="AJ22" s="6">
        <f t="shared" si="15"/>
        <v>6500000</v>
      </c>
      <c r="AK22" s="11">
        <f t="shared" si="5"/>
        <v>3200000</v>
      </c>
      <c r="AL22" s="10">
        <f t="shared" si="6"/>
        <v>0</v>
      </c>
      <c r="AM22" s="10"/>
      <c r="AN22" s="10">
        <f t="shared" si="20"/>
        <v>0</v>
      </c>
      <c r="AO22" s="10">
        <f t="shared" si="16"/>
        <v>0</v>
      </c>
      <c r="AP22" s="10">
        <f t="shared" si="21"/>
        <v>0</v>
      </c>
      <c r="AQ22" s="5">
        <f t="shared" si="1"/>
        <v>0</v>
      </c>
      <c r="AR22" s="5">
        <f t="shared" si="22"/>
        <v>0</v>
      </c>
      <c r="AS22" s="5">
        <f t="shared" si="3"/>
        <v>4832000</v>
      </c>
      <c r="AT22" s="5">
        <f>ROUND(AE22*54000+AG22*54000+AI22*57000,-3)</f>
        <v>0</v>
      </c>
      <c r="AU22" s="12">
        <f t="shared" si="23"/>
        <v>0</v>
      </c>
      <c r="AV22" s="12">
        <f t="shared" si="24"/>
        <v>0</v>
      </c>
      <c r="AW22" s="12">
        <f t="shared" si="25"/>
        <v>0</v>
      </c>
      <c r="AX22" s="12">
        <f t="shared" si="26"/>
        <v>0</v>
      </c>
      <c r="AY22" s="46">
        <f t="shared" si="7"/>
        <v>0</v>
      </c>
      <c r="AZ22" s="15"/>
      <c r="BA22" s="10">
        <f t="shared" si="27"/>
        <v>0</v>
      </c>
      <c r="BB22" s="6"/>
      <c r="BC22" s="6"/>
      <c r="BD22" s="6"/>
      <c r="BE22" s="20"/>
      <c r="BF22" s="13">
        <f t="shared" si="8"/>
        <v>14532000</v>
      </c>
      <c r="BG22" s="11">
        <f t="shared" si="9"/>
        <v>3200000</v>
      </c>
      <c r="BH22" s="89">
        <f t="shared" si="17"/>
        <v>3200000</v>
      </c>
      <c r="BI22" s="89">
        <f t="shared" si="18"/>
        <v>0</v>
      </c>
      <c r="BJ22" s="80">
        <v>7633000</v>
      </c>
      <c r="BK22" s="80"/>
      <c r="BL22" s="78">
        <f t="shared" si="10"/>
        <v>22165000</v>
      </c>
      <c r="BM22" s="100">
        <f t="shared" si="11"/>
        <v>107000</v>
      </c>
      <c r="BN22" s="116">
        <v>519200</v>
      </c>
      <c r="BO22" s="116">
        <v>97350</v>
      </c>
      <c r="BP22" s="116">
        <v>64900</v>
      </c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7">
        <f t="shared" si="19"/>
        <v>788450</v>
      </c>
      <c r="CD22" s="116"/>
      <c r="CE22" s="116"/>
      <c r="CF22" s="117">
        <f t="shared" si="12"/>
        <v>21376550</v>
      </c>
      <c r="CG22" s="116">
        <v>100000</v>
      </c>
      <c r="CH22" s="116">
        <v>23</v>
      </c>
      <c r="CI22" s="116">
        <f t="shared" si="13"/>
        <v>759000</v>
      </c>
      <c r="CJ22" s="117">
        <f t="shared" si="14"/>
        <v>22235550</v>
      </c>
    </row>
    <row r="23" spans="1:88" s="66" customFormat="1" ht="31.95" customHeight="1">
      <c r="A23" s="47">
        <v>13</v>
      </c>
      <c r="B23" s="93" t="s">
        <v>64</v>
      </c>
      <c r="C23" s="90" t="s">
        <v>24</v>
      </c>
      <c r="D23" s="4">
        <v>14700000</v>
      </c>
      <c r="E23" s="7"/>
      <c r="F23" s="88">
        <v>6500000</v>
      </c>
      <c r="G23" s="79">
        <v>6830000</v>
      </c>
      <c r="H23" s="79"/>
      <c r="I23" s="6" t="s">
        <v>59</v>
      </c>
      <c r="J23" s="7">
        <f>'[1]3. Chấm công'!AR20</f>
        <v>23</v>
      </c>
      <c r="K23" s="7">
        <f>'[1]3. Chấm công'!AI20</f>
        <v>0</v>
      </c>
      <c r="L23" s="7">
        <f>'[1]3. Chấm công'!AL20</f>
        <v>0</v>
      </c>
      <c r="M23" s="7">
        <f>'[1]3. Chấm công'!AJ20</f>
        <v>0</v>
      </c>
      <c r="N23" s="7"/>
      <c r="O23" s="7">
        <f>'[1]3. Chấm công'!AK20</f>
        <v>0</v>
      </c>
      <c r="P23" s="16">
        <f>'[1]3. Chấm công'!AT20</f>
        <v>0</v>
      </c>
      <c r="Q23" s="8"/>
      <c r="R23" s="8"/>
      <c r="S23" s="8">
        <f>'[1]3. Chấm công'!AP20</f>
        <v>0</v>
      </c>
      <c r="T23" s="18">
        <f>'[1]6. THKH tháng'!BG50</f>
        <v>0</v>
      </c>
      <c r="U23" s="18">
        <f>'[1]6. THKH tháng'!BH50</f>
        <v>0</v>
      </c>
      <c r="V23" s="18">
        <f>'[1]6. THKH tháng'!BG51</f>
        <v>0</v>
      </c>
      <c r="W23" s="18">
        <f>'[1]6. THKH tháng'!BH51</f>
        <v>0</v>
      </c>
      <c r="X23" s="18">
        <f>'[1]6. THKH tháng'!BI49</f>
        <v>0</v>
      </c>
      <c r="Y23" s="18">
        <f>'[1]6. THKH tháng'!BJ49</f>
        <v>0</v>
      </c>
      <c r="Z23" s="18">
        <f>'[1]6. THKH tháng'!BI50</f>
        <v>0</v>
      </c>
      <c r="AA23" s="18">
        <f>'[1]6. THKH tháng'!BJ50</f>
        <v>0</v>
      </c>
      <c r="AB23" s="18">
        <f>'[1]6. THKH tháng'!BI51</f>
        <v>0</v>
      </c>
      <c r="AC23" s="18">
        <f>'[1]6. THKH tháng'!BJ51</f>
        <v>0</v>
      </c>
      <c r="AD23" s="7">
        <f>'[1]6. THKH tháng'!BK49</f>
        <v>0</v>
      </c>
      <c r="AE23" s="7">
        <f>'[1]6. THKH tháng'!BL49</f>
        <v>0</v>
      </c>
      <c r="AF23" s="19">
        <f>'[1]6. THKH tháng'!BK50</f>
        <v>0</v>
      </c>
      <c r="AG23" s="19">
        <f>'[1]6. THKH tháng'!BL50</f>
        <v>0</v>
      </c>
      <c r="AH23" s="19">
        <f>'[1]6. THKH tháng'!BK51</f>
        <v>110.28333333333333</v>
      </c>
      <c r="AI23" s="19">
        <f>'[1]6. THKH tháng'!BL51</f>
        <v>0</v>
      </c>
      <c r="AJ23" s="6">
        <f t="shared" si="15"/>
        <v>6500000</v>
      </c>
      <c r="AK23" s="11">
        <f t="shared" si="5"/>
        <v>1850000</v>
      </c>
      <c r="AL23" s="10">
        <f t="shared" si="6"/>
        <v>0</v>
      </c>
      <c r="AM23" s="10"/>
      <c r="AN23" s="10">
        <f t="shared" si="20"/>
        <v>0</v>
      </c>
      <c r="AO23" s="10">
        <f t="shared" si="16"/>
        <v>0</v>
      </c>
      <c r="AP23" s="10">
        <f t="shared" si="21"/>
        <v>0</v>
      </c>
      <c r="AQ23" s="5">
        <f t="shared" si="1"/>
        <v>0</v>
      </c>
      <c r="AR23" s="5">
        <f t="shared" si="22"/>
        <v>0</v>
      </c>
      <c r="AS23" s="5">
        <f t="shared" si="3"/>
        <v>4742000</v>
      </c>
      <c r="AT23" s="5">
        <f t="shared" si="4"/>
        <v>0</v>
      </c>
      <c r="AU23" s="12">
        <f t="shared" si="23"/>
        <v>0</v>
      </c>
      <c r="AV23" s="12">
        <f t="shared" si="24"/>
        <v>0</v>
      </c>
      <c r="AW23" s="12">
        <f t="shared" si="25"/>
        <v>0</v>
      </c>
      <c r="AX23" s="12">
        <f t="shared" si="26"/>
        <v>0</v>
      </c>
      <c r="AY23" s="46"/>
      <c r="AZ23" s="15"/>
      <c r="BA23" s="10">
        <f t="shared" si="27"/>
        <v>0</v>
      </c>
      <c r="BB23" s="6"/>
      <c r="BC23" s="6">
        <f>'[1]12. Tuyển sinh'!O11</f>
        <v>0</v>
      </c>
      <c r="BD23" s="6"/>
      <c r="BE23" s="20"/>
      <c r="BF23" s="13">
        <f t="shared" si="8"/>
        <v>13092000</v>
      </c>
      <c r="BG23" s="11">
        <f t="shared" si="9"/>
        <v>3700000</v>
      </c>
      <c r="BH23" s="89">
        <f t="shared" si="17"/>
        <v>1850000</v>
      </c>
      <c r="BI23" s="92">
        <f t="shared" si="18"/>
        <v>1850000</v>
      </c>
      <c r="BJ23" s="80">
        <v>11225000</v>
      </c>
      <c r="BK23" s="80"/>
      <c r="BL23" s="78">
        <f t="shared" si="10"/>
        <v>24317000</v>
      </c>
      <c r="BM23" s="100">
        <f t="shared" si="11"/>
        <v>118000</v>
      </c>
      <c r="BN23" s="116">
        <v>546400</v>
      </c>
      <c r="BO23" s="116">
        <v>102450</v>
      </c>
      <c r="BP23" s="116">
        <v>68300</v>
      </c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>
        <v>1110203</v>
      </c>
      <c r="CB23" s="116"/>
      <c r="CC23" s="117">
        <f t="shared" si="19"/>
        <v>1945353</v>
      </c>
      <c r="CD23" s="116"/>
      <c r="CE23" s="116"/>
      <c r="CF23" s="117">
        <f t="shared" si="12"/>
        <v>22371647</v>
      </c>
      <c r="CG23" s="116">
        <v>100000</v>
      </c>
      <c r="CH23" s="116">
        <v>23</v>
      </c>
      <c r="CI23" s="116">
        <f t="shared" si="13"/>
        <v>759000</v>
      </c>
      <c r="CJ23" s="117">
        <f t="shared" si="14"/>
        <v>23230647</v>
      </c>
    </row>
    <row r="24" spans="1:88" s="66" customFormat="1" ht="31.95" customHeight="1">
      <c r="A24" s="47">
        <v>14</v>
      </c>
      <c r="B24" s="93" t="s">
        <v>116</v>
      </c>
      <c r="C24" s="87" t="s">
        <v>117</v>
      </c>
      <c r="D24" s="4">
        <v>13690000</v>
      </c>
      <c r="E24" s="7"/>
      <c r="F24" s="88">
        <v>6500000</v>
      </c>
      <c r="G24" s="79">
        <v>6180000</v>
      </c>
      <c r="H24" s="79"/>
      <c r="I24" s="6" t="str">
        <f>'[1]11. Xếp loại'!E21</f>
        <v>A</v>
      </c>
      <c r="J24" s="7"/>
      <c r="K24" s="7">
        <f>'[1]3. Chấm công'!AI21</f>
        <v>0</v>
      </c>
      <c r="L24" s="7"/>
      <c r="M24" s="7">
        <f>'[1]3. Chấm công'!AJ21</f>
        <v>0</v>
      </c>
      <c r="N24" s="7">
        <f>'[1]3. Chấm công'!AR21</f>
        <v>23</v>
      </c>
      <c r="O24" s="7"/>
      <c r="P24" s="16">
        <f>'[1]3. Chấm công'!AT21</f>
        <v>0</v>
      </c>
      <c r="Q24" s="8"/>
      <c r="R24" s="8"/>
      <c r="S24" s="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7">
        <f>'[1]6. THKH tháng'!BK52</f>
        <v>0</v>
      </c>
      <c r="AE24" s="7">
        <f>'[1]6. THKH tháng'!BL52</f>
        <v>0</v>
      </c>
      <c r="AF24" s="19">
        <f>'[1]6. THKH tháng'!BK53</f>
        <v>0</v>
      </c>
      <c r="AG24" s="19">
        <f>'[1]6. THKH tháng'!BL53</f>
        <v>0</v>
      </c>
      <c r="AH24" s="19">
        <f>'[1]6. THKH tháng'!BK54</f>
        <v>0</v>
      </c>
      <c r="AI24" s="19">
        <f>'[1]6. THKH tháng'!BL54</f>
        <v>0</v>
      </c>
      <c r="AJ24" s="6">
        <f t="shared" si="15"/>
        <v>0</v>
      </c>
      <c r="AK24" s="11">
        <f t="shared" si="5"/>
        <v>0</v>
      </c>
      <c r="AL24" s="10">
        <f t="shared" si="6"/>
        <v>0</v>
      </c>
      <c r="AM24" s="10"/>
      <c r="AN24" s="10">
        <f t="shared" si="20"/>
        <v>0</v>
      </c>
      <c r="AO24" s="10"/>
      <c r="AP24" s="10">
        <f>ROUND(G24*N24/$A$5*85%,-3)</f>
        <v>5253000</v>
      </c>
      <c r="AQ24" s="5">
        <f t="shared" si="1"/>
        <v>0</v>
      </c>
      <c r="AR24" s="5"/>
      <c r="AS24" s="5">
        <f t="shared" si="3"/>
        <v>0</v>
      </c>
      <c r="AT24" s="5">
        <f t="shared" si="4"/>
        <v>0</v>
      </c>
      <c r="AU24" s="12"/>
      <c r="AV24" s="12"/>
      <c r="AW24" s="12"/>
      <c r="AX24" s="12"/>
      <c r="AY24" s="46">
        <f t="shared" si="7"/>
        <v>0</v>
      </c>
      <c r="AZ24" s="15"/>
      <c r="BA24" s="10"/>
      <c r="BB24" s="6"/>
      <c r="BC24" s="6"/>
      <c r="BD24" s="6"/>
      <c r="BE24" s="20"/>
      <c r="BF24" s="13">
        <f t="shared" si="8"/>
        <v>5253000</v>
      </c>
      <c r="BG24" s="11">
        <f t="shared" si="9"/>
        <v>0</v>
      </c>
      <c r="BH24" s="89">
        <f t="shared" si="17"/>
        <v>0</v>
      </c>
      <c r="BI24" s="92">
        <f t="shared" si="18"/>
        <v>0</v>
      </c>
      <c r="BJ24" s="80">
        <v>0</v>
      </c>
      <c r="BK24" s="80"/>
      <c r="BL24" s="78">
        <f t="shared" si="10"/>
        <v>5253000</v>
      </c>
      <c r="BM24" s="100">
        <f t="shared" si="11"/>
        <v>26000</v>
      </c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7">
        <f t="shared" si="19"/>
        <v>26000</v>
      </c>
      <c r="CD24" s="116"/>
      <c r="CE24" s="116"/>
      <c r="CF24" s="117">
        <f t="shared" si="12"/>
        <v>5227000</v>
      </c>
      <c r="CG24" s="116"/>
      <c r="CH24" s="116">
        <v>23</v>
      </c>
      <c r="CI24" s="116">
        <f t="shared" si="13"/>
        <v>759000</v>
      </c>
      <c r="CJ24" s="117">
        <f t="shared" si="14"/>
        <v>5986000</v>
      </c>
    </row>
    <row r="25" spans="1:88" s="65" customFormat="1" ht="31.95" customHeight="1">
      <c r="A25" s="47">
        <v>15</v>
      </c>
      <c r="B25" s="86" t="s">
        <v>28</v>
      </c>
      <c r="C25" s="90" t="s">
        <v>58</v>
      </c>
      <c r="D25" s="7">
        <v>9160000</v>
      </c>
      <c r="E25" s="7"/>
      <c r="F25" s="88">
        <v>6500000</v>
      </c>
      <c r="G25" s="79">
        <v>5860000</v>
      </c>
      <c r="H25" s="79"/>
      <c r="I25" s="6" t="str">
        <f>'[1]11. Xếp loại'!E21</f>
        <v>A</v>
      </c>
      <c r="J25" s="7">
        <f>'[1]3. Chấm công'!AR22</f>
        <v>23</v>
      </c>
      <c r="K25" s="7">
        <f>'[1]3. Chấm công'!AI22</f>
        <v>0</v>
      </c>
      <c r="L25" s="7"/>
      <c r="M25" s="7">
        <f>'[1]3. Chấm công'!AJ22</f>
        <v>0</v>
      </c>
      <c r="N25" s="7"/>
      <c r="O25" s="7">
        <f>'[1]3. Chấm công'!AK22</f>
        <v>0</v>
      </c>
      <c r="P25" s="16">
        <f>'[1]3. Chấm công'!AT22</f>
        <v>52.25</v>
      </c>
      <c r="Q25" s="8"/>
      <c r="R25" s="8"/>
      <c r="S25" s="8">
        <f>'[1]3. Chấm công'!AP22</f>
        <v>0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21"/>
      <c r="AI25" s="18"/>
      <c r="AJ25" s="6">
        <f>ROUND(F25*(J25)/$A$5,-3)</f>
        <v>6500000</v>
      </c>
      <c r="AK25" s="11">
        <f>ROUND(IF(I25="A",(D25-F25)*(J25)/$A$5,IF(I25="B",(D25-F25)*0.5*(J25)/$A$5*$B$5,IF(I25="C",0))),-3)</f>
        <v>2660000</v>
      </c>
      <c r="AL25" s="10">
        <f t="shared" si="6"/>
        <v>0</v>
      </c>
      <c r="AM25" s="10"/>
      <c r="AN25" s="10">
        <f t="shared" si="20"/>
        <v>0</v>
      </c>
      <c r="AO25" s="10">
        <f t="shared" si="16"/>
        <v>0</v>
      </c>
      <c r="AP25" s="10">
        <f t="shared" si="21"/>
        <v>0</v>
      </c>
      <c r="AQ25" s="5">
        <f t="shared" si="1"/>
        <v>16511000</v>
      </c>
      <c r="AR25" s="5">
        <f t="shared" si="22"/>
        <v>0</v>
      </c>
      <c r="AS25" s="5">
        <f t="shared" si="3"/>
        <v>0</v>
      </c>
      <c r="AT25" s="5">
        <f t="shared" si="4"/>
        <v>0</v>
      </c>
      <c r="AU25" s="12">
        <f t="shared" si="23"/>
        <v>0</v>
      </c>
      <c r="AV25" s="12">
        <f t="shared" si="24"/>
        <v>0</v>
      </c>
      <c r="AW25" s="12">
        <f t="shared" si="25"/>
        <v>0</v>
      </c>
      <c r="AX25" s="12">
        <f t="shared" si="26"/>
        <v>0</v>
      </c>
      <c r="AY25" s="46">
        <f t="shared" si="7"/>
        <v>0</v>
      </c>
      <c r="AZ25" s="15"/>
      <c r="BA25" s="10">
        <f t="shared" si="27"/>
        <v>0</v>
      </c>
      <c r="BB25" s="10"/>
      <c r="BC25" s="10"/>
      <c r="BD25" s="10"/>
      <c r="BE25" s="20"/>
      <c r="BF25" s="13">
        <f t="shared" si="8"/>
        <v>25671000</v>
      </c>
      <c r="BG25" s="11">
        <f>ROUND((D25-F25)*(J25)/$A$5,-3)</f>
        <v>2660000</v>
      </c>
      <c r="BH25" s="89">
        <f t="shared" si="17"/>
        <v>2660000</v>
      </c>
      <c r="BI25" s="92">
        <f>BG25-BH25</f>
        <v>0</v>
      </c>
      <c r="BJ25" s="80">
        <v>0</v>
      </c>
      <c r="BK25" s="53"/>
      <c r="BL25" s="78">
        <f t="shared" si="10"/>
        <v>25671000</v>
      </c>
      <c r="BM25" s="100">
        <f t="shared" si="11"/>
        <v>125000</v>
      </c>
      <c r="BN25" s="116">
        <v>468800</v>
      </c>
      <c r="BO25" s="116">
        <v>87900</v>
      </c>
      <c r="BP25" s="116">
        <v>58600</v>
      </c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>
        <v>2666054</v>
      </c>
      <c r="CB25" s="116"/>
      <c r="CC25" s="117">
        <f t="shared" si="19"/>
        <v>3406354</v>
      </c>
      <c r="CD25" s="116"/>
      <c r="CE25" s="116"/>
      <c r="CF25" s="117">
        <f t="shared" si="12"/>
        <v>22264646</v>
      </c>
      <c r="CG25" s="116">
        <v>100000</v>
      </c>
      <c r="CH25" s="116">
        <v>23</v>
      </c>
      <c r="CI25" s="116">
        <f t="shared" si="13"/>
        <v>759000</v>
      </c>
      <c r="CJ25" s="117">
        <f t="shared" si="14"/>
        <v>23123646</v>
      </c>
    </row>
    <row r="26" spans="1:88" s="65" customFormat="1" ht="31.95" customHeight="1">
      <c r="A26" s="47">
        <v>16</v>
      </c>
      <c r="B26" s="93" t="s">
        <v>49</v>
      </c>
      <c r="C26" s="90" t="s">
        <v>58</v>
      </c>
      <c r="D26" s="7">
        <v>8740000</v>
      </c>
      <c r="E26" s="7"/>
      <c r="F26" s="88">
        <v>6500000</v>
      </c>
      <c r="G26" s="79">
        <v>5580000</v>
      </c>
      <c r="H26" s="79"/>
      <c r="I26" s="6" t="str">
        <f>'[1]11. Xếp loại'!E22</f>
        <v>A</v>
      </c>
      <c r="J26" s="7">
        <f>'[1]3. Chấm công'!AR23</f>
        <v>23</v>
      </c>
      <c r="K26" s="7">
        <f>'[1]3. Chấm công'!AI23</f>
        <v>0</v>
      </c>
      <c r="L26" s="7">
        <f>'[1]3. Chấm công'!AK23</f>
        <v>0</v>
      </c>
      <c r="M26" s="7">
        <f>'[1]3. Chấm công'!AJ23</f>
        <v>0</v>
      </c>
      <c r="N26" s="7"/>
      <c r="O26" s="7"/>
      <c r="P26" s="16">
        <f>'[1]3. Chấm công'!AT23</f>
        <v>52.25</v>
      </c>
      <c r="Q26" s="8"/>
      <c r="R26" s="8"/>
      <c r="S26" s="8">
        <f>'[1]3. Chấm công'!AP23</f>
        <v>0</v>
      </c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6">
        <f>ROUND(F26*(J26)/$A$5,-3)</f>
        <v>6500000</v>
      </c>
      <c r="AK26" s="11">
        <f>ROUND(IF(I26="A",(D26-F26)*(J26)/$A$5,IF(I26="B",(D26-F26)*0.5*(J26)/$A$5*$B$5,IF(I26="C",0))),-3)</f>
        <v>2240000</v>
      </c>
      <c r="AL26" s="10">
        <f t="shared" si="6"/>
        <v>0</v>
      </c>
      <c r="AM26" s="10"/>
      <c r="AN26" s="10">
        <f t="shared" si="20"/>
        <v>0</v>
      </c>
      <c r="AO26" s="10">
        <f t="shared" si="16"/>
        <v>0</v>
      </c>
      <c r="AP26" s="10">
        <f t="shared" si="21"/>
        <v>0</v>
      </c>
      <c r="AQ26" s="5">
        <f t="shared" si="1"/>
        <v>16511000</v>
      </c>
      <c r="AR26" s="5">
        <f t="shared" si="22"/>
        <v>0</v>
      </c>
      <c r="AS26" s="5">
        <f t="shared" si="3"/>
        <v>0</v>
      </c>
      <c r="AT26" s="5">
        <f t="shared" si="4"/>
        <v>0</v>
      </c>
      <c r="AU26" s="12">
        <f t="shared" si="23"/>
        <v>0</v>
      </c>
      <c r="AV26" s="12">
        <f t="shared" si="24"/>
        <v>0</v>
      </c>
      <c r="AW26" s="12">
        <f t="shared" si="25"/>
        <v>0</v>
      </c>
      <c r="AX26" s="12">
        <f t="shared" si="26"/>
        <v>0</v>
      </c>
      <c r="AY26" s="46">
        <f t="shared" si="7"/>
        <v>0</v>
      </c>
      <c r="AZ26" s="17"/>
      <c r="BA26" s="10">
        <f t="shared" si="27"/>
        <v>0</v>
      </c>
      <c r="BB26" s="10">
        <f>'[1]12. Tuyển sinh'!O14</f>
        <v>0</v>
      </c>
      <c r="BC26" s="10"/>
      <c r="BD26" s="10"/>
      <c r="BE26" s="20"/>
      <c r="BF26" s="13">
        <f t="shared" si="8"/>
        <v>25251000</v>
      </c>
      <c r="BG26" s="11">
        <f>ROUND((D26-F26)*(J26)/$A$5,-3)</f>
        <v>2240000</v>
      </c>
      <c r="BH26" s="89">
        <f t="shared" si="17"/>
        <v>2240000</v>
      </c>
      <c r="BI26" s="92">
        <f t="shared" si="18"/>
        <v>0</v>
      </c>
      <c r="BJ26" s="80">
        <v>336000</v>
      </c>
      <c r="BK26" s="80"/>
      <c r="BL26" s="78">
        <f t="shared" si="10"/>
        <v>25587000</v>
      </c>
      <c r="BM26" s="100">
        <f t="shared" si="11"/>
        <v>125000</v>
      </c>
      <c r="BN26" s="116">
        <v>446400</v>
      </c>
      <c r="BO26" s="116">
        <v>83700</v>
      </c>
      <c r="BP26" s="116">
        <v>55800</v>
      </c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>
        <v>2008254</v>
      </c>
      <c r="CB26" s="116"/>
      <c r="CC26" s="117">
        <f t="shared" si="19"/>
        <v>2719154</v>
      </c>
      <c r="CD26" s="116"/>
      <c r="CE26" s="116"/>
      <c r="CF26" s="117">
        <f t="shared" si="12"/>
        <v>22867846</v>
      </c>
      <c r="CG26" s="116">
        <v>100000</v>
      </c>
      <c r="CH26" s="116">
        <v>23</v>
      </c>
      <c r="CI26" s="116">
        <f t="shared" si="13"/>
        <v>759000</v>
      </c>
      <c r="CJ26" s="117">
        <f t="shared" si="14"/>
        <v>23726846</v>
      </c>
    </row>
    <row r="27" spans="1:88" s="65" customFormat="1" ht="31.95" customHeight="1">
      <c r="A27" s="48">
        <v>17</v>
      </c>
      <c r="B27" s="118" t="s">
        <v>56</v>
      </c>
      <c r="C27" s="94" t="s">
        <v>58</v>
      </c>
      <c r="D27" s="22">
        <v>8740000</v>
      </c>
      <c r="E27" s="22"/>
      <c r="F27" s="95">
        <v>6500000</v>
      </c>
      <c r="G27" s="81">
        <v>5580000</v>
      </c>
      <c r="H27" s="81"/>
      <c r="I27" s="23" t="str">
        <f>'[1]11. Xếp loại'!E23</f>
        <v>A</v>
      </c>
      <c r="J27" s="22">
        <f>'[1]3. Chấm công'!AR24</f>
        <v>23</v>
      </c>
      <c r="K27" s="22">
        <f>'[1]3. Chấm công'!AI24</f>
        <v>0</v>
      </c>
      <c r="L27" s="22">
        <f>'[1]3. Chấm công'!AL24</f>
        <v>0</v>
      </c>
      <c r="M27" s="22">
        <f>'[1]3. Chấm công'!AJ24</f>
        <v>0</v>
      </c>
      <c r="N27" s="22"/>
      <c r="O27" s="22">
        <f>'[1]3. Chấm công'!AK24</f>
        <v>0</v>
      </c>
      <c r="P27" s="24">
        <f>'[1]3. Chấm công'!AT24</f>
        <v>52.25</v>
      </c>
      <c r="Q27" s="25"/>
      <c r="R27" s="25"/>
      <c r="S27" s="25">
        <f>'[1]3. Chấm công'!AP24</f>
        <v>0</v>
      </c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3">
        <f>ROUND(F27*(J27)/$A$5,-3)</f>
        <v>6500000</v>
      </c>
      <c r="AK27" s="28">
        <f>ROUND(IF(I27="A",(D27-F27)*(J27)/$A$5,IF(I27="B",(D27-F27)*0.5*(J27)/$A$5*$B$5,IF(I27="C",0))),-3)</f>
        <v>2240000</v>
      </c>
      <c r="AL27" s="29">
        <f t="shared" si="6"/>
        <v>0</v>
      </c>
      <c r="AM27" s="29"/>
      <c r="AN27" s="29">
        <f t="shared" si="20"/>
        <v>0</v>
      </c>
      <c r="AO27" s="29">
        <f t="shared" si="16"/>
        <v>0</v>
      </c>
      <c r="AP27" s="29">
        <f t="shared" si="21"/>
        <v>0</v>
      </c>
      <c r="AQ27" s="27">
        <f t="shared" si="1"/>
        <v>16511000</v>
      </c>
      <c r="AR27" s="27">
        <f t="shared" si="22"/>
        <v>0</v>
      </c>
      <c r="AS27" s="27">
        <f t="shared" si="3"/>
        <v>0</v>
      </c>
      <c r="AT27" s="27">
        <f t="shared" si="4"/>
        <v>0</v>
      </c>
      <c r="AU27" s="30">
        <f t="shared" si="23"/>
        <v>0</v>
      </c>
      <c r="AV27" s="30">
        <f t="shared" si="24"/>
        <v>0</v>
      </c>
      <c r="AW27" s="30">
        <f t="shared" si="25"/>
        <v>0</v>
      </c>
      <c r="AX27" s="30">
        <f t="shared" si="26"/>
        <v>0</v>
      </c>
      <c r="AY27" s="49">
        <f t="shared" si="7"/>
        <v>0</v>
      </c>
      <c r="AZ27" s="31"/>
      <c r="BA27" s="29">
        <f t="shared" si="27"/>
        <v>0</v>
      </c>
      <c r="BB27" s="23"/>
      <c r="BC27" s="23"/>
      <c r="BD27" s="23"/>
      <c r="BE27" s="32"/>
      <c r="BF27" s="33">
        <f t="shared" si="8"/>
        <v>25251000</v>
      </c>
      <c r="BG27" s="28">
        <f>ROUND((D27-F27)*(J27)/$A$5,-3)</f>
        <v>2240000</v>
      </c>
      <c r="BH27" s="96">
        <f t="shared" si="17"/>
        <v>2240000</v>
      </c>
      <c r="BI27" s="97">
        <f t="shared" si="18"/>
        <v>0</v>
      </c>
      <c r="BJ27" s="98">
        <v>336000</v>
      </c>
      <c r="BK27" s="98"/>
      <c r="BL27" s="99">
        <f t="shared" si="10"/>
        <v>25587000</v>
      </c>
      <c r="BM27" s="110">
        <f t="shared" si="11"/>
        <v>125000</v>
      </c>
      <c r="BN27" s="119">
        <v>446400</v>
      </c>
      <c r="BO27" s="119">
        <v>83700</v>
      </c>
      <c r="BP27" s="119">
        <v>55800</v>
      </c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>
        <v>3149729</v>
      </c>
      <c r="CB27" s="119"/>
      <c r="CC27" s="120">
        <f t="shared" si="19"/>
        <v>3860629</v>
      </c>
      <c r="CD27" s="119"/>
      <c r="CE27" s="119"/>
      <c r="CF27" s="120">
        <f t="shared" si="12"/>
        <v>21726371</v>
      </c>
      <c r="CG27" s="119">
        <v>100000</v>
      </c>
      <c r="CH27" s="119">
        <v>23</v>
      </c>
      <c r="CI27" s="119">
        <f t="shared" si="13"/>
        <v>759000</v>
      </c>
      <c r="CJ27" s="120">
        <f t="shared" si="14"/>
        <v>22585371</v>
      </c>
    </row>
    <row r="28" spans="1:88" s="67" customFormat="1" ht="31.95" customHeight="1">
      <c r="A28" s="50"/>
      <c r="B28" s="50" t="s">
        <v>29</v>
      </c>
      <c r="C28" s="50"/>
      <c r="D28" s="35">
        <f>SUM(D11:D14)+SUM(D16:D27)</f>
        <v>214750000</v>
      </c>
      <c r="E28" s="35">
        <f t="shared" ref="E28:H28" si="28">SUM(E11:E14)+SUM(E16:E27)</f>
        <v>1470000</v>
      </c>
      <c r="F28" s="35">
        <f t="shared" si="28"/>
        <v>104000000</v>
      </c>
      <c r="G28" s="35">
        <f t="shared" si="28"/>
        <v>104700000</v>
      </c>
      <c r="H28" s="35">
        <f t="shared" si="28"/>
        <v>1470000</v>
      </c>
      <c r="I28" s="35">
        <f t="shared" ref="I28:BE28" si="29">SUM(I11:I27)</f>
        <v>0</v>
      </c>
      <c r="J28" s="35">
        <f t="shared" si="29"/>
        <v>345</v>
      </c>
      <c r="K28" s="35">
        <f t="shared" si="29"/>
        <v>0</v>
      </c>
      <c r="L28" s="35">
        <f t="shared" si="29"/>
        <v>0</v>
      </c>
      <c r="M28" s="35">
        <f t="shared" si="29"/>
        <v>0</v>
      </c>
      <c r="N28" s="35">
        <f t="shared" si="29"/>
        <v>23</v>
      </c>
      <c r="O28" s="35">
        <f t="shared" si="29"/>
        <v>0</v>
      </c>
      <c r="P28" s="35">
        <f t="shared" si="29"/>
        <v>636.25</v>
      </c>
      <c r="Q28" s="35">
        <f t="shared" si="29"/>
        <v>0</v>
      </c>
      <c r="R28" s="35">
        <f t="shared" si="29"/>
        <v>0</v>
      </c>
      <c r="S28" s="35">
        <f t="shared" si="29"/>
        <v>0</v>
      </c>
      <c r="T28" s="35">
        <f t="shared" si="29"/>
        <v>0</v>
      </c>
      <c r="U28" s="35">
        <f t="shared" si="29"/>
        <v>0</v>
      </c>
      <c r="V28" s="35">
        <f t="shared" si="29"/>
        <v>0</v>
      </c>
      <c r="W28" s="35">
        <f t="shared" si="29"/>
        <v>0</v>
      </c>
      <c r="X28" s="35">
        <f t="shared" si="29"/>
        <v>0</v>
      </c>
      <c r="Y28" s="35">
        <f t="shared" si="29"/>
        <v>0</v>
      </c>
      <c r="Z28" s="35">
        <f t="shared" si="29"/>
        <v>0</v>
      </c>
      <c r="AA28" s="35">
        <f t="shared" si="29"/>
        <v>0</v>
      </c>
      <c r="AB28" s="36">
        <f t="shared" si="29"/>
        <v>35.400000000000006</v>
      </c>
      <c r="AC28" s="35">
        <f t="shared" si="29"/>
        <v>0</v>
      </c>
      <c r="AD28" s="36">
        <f t="shared" si="29"/>
        <v>146.19999999999999</v>
      </c>
      <c r="AE28" s="35">
        <f t="shared" si="29"/>
        <v>0</v>
      </c>
      <c r="AF28" s="132">
        <f t="shared" si="29"/>
        <v>369.43333333333334</v>
      </c>
      <c r="AG28" s="132">
        <f t="shared" si="29"/>
        <v>0</v>
      </c>
      <c r="AH28" s="132">
        <f t="shared" si="29"/>
        <v>460.36666666666667</v>
      </c>
      <c r="AI28" s="132">
        <f t="shared" si="29"/>
        <v>0</v>
      </c>
      <c r="AJ28" s="35">
        <f t="shared" si="29"/>
        <v>97500000</v>
      </c>
      <c r="AK28" s="35">
        <f t="shared" si="29"/>
        <v>52210000</v>
      </c>
      <c r="AL28" s="34">
        <f t="shared" si="29"/>
        <v>0</v>
      </c>
      <c r="AM28" s="34">
        <f t="shared" si="29"/>
        <v>0</v>
      </c>
      <c r="AN28" s="34">
        <f t="shared" si="29"/>
        <v>0</v>
      </c>
      <c r="AO28" s="34">
        <f t="shared" si="29"/>
        <v>0</v>
      </c>
      <c r="AP28" s="35">
        <f t="shared" si="29"/>
        <v>5253000</v>
      </c>
      <c r="AQ28" s="35">
        <f>SUM(AQ11:AQ27)</f>
        <v>201055000</v>
      </c>
      <c r="AR28" s="35">
        <f t="shared" si="29"/>
        <v>0</v>
      </c>
      <c r="AS28" s="35">
        <f t="shared" si="29"/>
        <v>41966000</v>
      </c>
      <c r="AT28" s="35">
        <f t="shared" si="29"/>
        <v>0</v>
      </c>
      <c r="AU28" s="35">
        <f t="shared" si="29"/>
        <v>1381000</v>
      </c>
      <c r="AV28" s="35">
        <f t="shared" si="29"/>
        <v>0</v>
      </c>
      <c r="AW28" s="35">
        <f t="shared" si="29"/>
        <v>0</v>
      </c>
      <c r="AX28" s="35">
        <f t="shared" si="29"/>
        <v>0</v>
      </c>
      <c r="AY28" s="35">
        <f t="shared" si="29"/>
        <v>0</v>
      </c>
      <c r="AZ28" s="35">
        <f t="shared" si="29"/>
        <v>1470000</v>
      </c>
      <c r="BA28" s="35">
        <f t="shared" si="29"/>
        <v>0</v>
      </c>
      <c r="BB28" s="35">
        <f t="shared" si="29"/>
        <v>0</v>
      </c>
      <c r="BC28" s="35">
        <f t="shared" si="29"/>
        <v>0</v>
      </c>
      <c r="BD28" s="35">
        <f t="shared" si="29"/>
        <v>0</v>
      </c>
      <c r="BE28" s="35">
        <f t="shared" si="29"/>
        <v>0</v>
      </c>
      <c r="BF28" s="35">
        <f>SUM(BF11:BF27)</f>
        <v>400835000</v>
      </c>
      <c r="BG28" s="35">
        <f t="shared" ref="BG28:CJ28" si="30">SUM(BG11:BG27)</f>
        <v>54060000</v>
      </c>
      <c r="BH28" s="35">
        <f t="shared" si="30"/>
        <v>52210000</v>
      </c>
      <c r="BI28" s="35">
        <f t="shared" si="30"/>
        <v>1850000</v>
      </c>
      <c r="BJ28" s="35">
        <f t="shared" si="30"/>
        <v>121929000</v>
      </c>
      <c r="BK28" s="35">
        <f t="shared" si="30"/>
        <v>0</v>
      </c>
      <c r="BL28" s="35">
        <f t="shared" si="30"/>
        <v>522764000</v>
      </c>
      <c r="BM28" s="35">
        <f t="shared" si="30"/>
        <v>2544000</v>
      </c>
      <c r="BN28" s="35">
        <f t="shared" si="30"/>
        <v>7999200</v>
      </c>
      <c r="BO28" s="35">
        <f t="shared" si="30"/>
        <v>1499850</v>
      </c>
      <c r="BP28" s="35">
        <f t="shared" si="30"/>
        <v>999900</v>
      </c>
      <c r="BQ28" s="35">
        <f t="shared" si="30"/>
        <v>0</v>
      </c>
      <c r="BR28" s="35">
        <f t="shared" si="30"/>
        <v>0</v>
      </c>
      <c r="BS28" s="35">
        <f t="shared" si="30"/>
        <v>0</v>
      </c>
      <c r="BT28" s="35">
        <f t="shared" si="30"/>
        <v>0</v>
      </c>
      <c r="BU28" s="35">
        <f t="shared" si="30"/>
        <v>0</v>
      </c>
      <c r="BV28" s="35">
        <f t="shared" si="30"/>
        <v>0</v>
      </c>
      <c r="BW28" s="35">
        <f t="shared" si="30"/>
        <v>0</v>
      </c>
      <c r="BX28" s="35">
        <f t="shared" si="30"/>
        <v>0</v>
      </c>
      <c r="BY28" s="35">
        <f t="shared" si="30"/>
        <v>2022000</v>
      </c>
      <c r="BZ28" s="35">
        <f t="shared" si="30"/>
        <v>0</v>
      </c>
      <c r="CA28" s="35">
        <f t="shared" si="30"/>
        <v>24204637</v>
      </c>
      <c r="CB28" s="35">
        <f t="shared" si="30"/>
        <v>13211200</v>
      </c>
      <c r="CC28" s="35">
        <f t="shared" si="30"/>
        <v>52480787</v>
      </c>
      <c r="CD28" s="35">
        <f t="shared" si="30"/>
        <v>160000</v>
      </c>
      <c r="CE28" s="35">
        <f t="shared" si="30"/>
        <v>0</v>
      </c>
      <c r="CF28" s="35">
        <f t="shared" si="30"/>
        <v>470443213</v>
      </c>
      <c r="CG28" s="35">
        <f t="shared" si="30"/>
        <v>1500000</v>
      </c>
      <c r="CH28" s="35">
        <f t="shared" si="30"/>
        <v>368</v>
      </c>
      <c r="CI28" s="35">
        <f t="shared" si="30"/>
        <v>12144000</v>
      </c>
      <c r="CJ28" s="35">
        <f t="shared" si="30"/>
        <v>484087213</v>
      </c>
    </row>
    <row r="29" spans="1:88" ht="6" customHeight="1">
      <c r="A29" s="41"/>
      <c r="B29" s="41"/>
      <c r="C29" s="41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60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61"/>
      <c r="AE29" s="59"/>
      <c r="AF29" s="61"/>
      <c r="AG29" s="61"/>
      <c r="AH29" s="61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X29" s="3"/>
      <c r="CF29" s="3"/>
    </row>
    <row r="30" spans="1:88" s="127" customFormat="1" ht="13.8">
      <c r="A30" s="126"/>
      <c r="I30" s="128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Z30" s="130"/>
      <c r="BF30" s="126"/>
      <c r="BL30" s="128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131">
        <f>CF28+CC28-CD28</f>
        <v>522764000</v>
      </c>
      <c r="CG30" s="42"/>
      <c r="CH30" s="42"/>
      <c r="CI30" s="42"/>
      <c r="CJ30" s="42"/>
    </row>
    <row r="39" spans="1:88" s="72" customFormat="1">
      <c r="A39" s="68"/>
      <c r="B39" s="62"/>
      <c r="C39" s="62"/>
      <c r="D39" s="62"/>
      <c r="E39" s="62"/>
      <c r="F39" s="62"/>
      <c r="G39" s="62"/>
      <c r="H39" s="62"/>
      <c r="I39" s="69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71"/>
      <c r="BA39" s="62"/>
      <c r="BF39" s="73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</row>
    <row r="40" spans="1:88" s="72" customFormat="1">
      <c r="A40" s="68"/>
      <c r="B40" s="62"/>
      <c r="C40" s="62"/>
      <c r="D40" s="62"/>
      <c r="E40" s="62"/>
      <c r="F40" s="62"/>
      <c r="G40" s="62"/>
      <c r="H40" s="62"/>
      <c r="I40" s="69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71"/>
      <c r="BA40" s="62"/>
      <c r="BF40" s="73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</row>
    <row r="41" spans="1:88" s="72" customFormat="1">
      <c r="A41" s="68"/>
      <c r="B41" s="62"/>
      <c r="C41" s="62"/>
      <c r="D41" s="62"/>
      <c r="E41" s="62"/>
      <c r="F41" s="62"/>
      <c r="G41" s="62"/>
      <c r="H41" s="62"/>
      <c r="I41" s="69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71"/>
      <c r="BA41" s="62"/>
      <c r="BF41" s="73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</row>
    <row r="42" spans="1:88" s="72" customFormat="1">
      <c r="A42" s="68"/>
      <c r="B42" s="62"/>
      <c r="C42" s="62"/>
      <c r="D42" s="62"/>
      <c r="E42" s="62"/>
      <c r="F42" s="62"/>
      <c r="G42" s="62"/>
      <c r="H42" s="62"/>
      <c r="I42" s="69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71"/>
      <c r="BA42" s="62"/>
      <c r="BF42" s="73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</row>
    <row r="43" spans="1:88" s="72" customFormat="1">
      <c r="A43" s="68"/>
      <c r="B43" s="62"/>
      <c r="C43" s="62"/>
      <c r="D43" s="62"/>
      <c r="E43" s="62"/>
      <c r="F43" s="62"/>
      <c r="G43" s="62"/>
      <c r="H43" s="62"/>
      <c r="I43" s="69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71"/>
      <c r="BA43" s="62"/>
      <c r="BF43" s="73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</row>
    <row r="44" spans="1:88" s="72" customFormat="1">
      <c r="A44" s="68"/>
      <c r="B44" s="62"/>
      <c r="C44" s="62"/>
      <c r="D44" s="62"/>
      <c r="E44" s="62"/>
      <c r="F44" s="62"/>
      <c r="G44" s="62"/>
      <c r="H44" s="62"/>
      <c r="I44" s="69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71"/>
      <c r="BA44" s="62"/>
      <c r="BF44" s="73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</row>
    <row r="45" spans="1:88" s="72" customFormat="1">
      <c r="A45" s="68"/>
      <c r="B45" s="62"/>
      <c r="C45" s="62"/>
      <c r="D45" s="62"/>
      <c r="E45" s="62"/>
      <c r="F45" s="62"/>
      <c r="G45" s="62"/>
      <c r="H45" s="62"/>
      <c r="I45" s="69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71"/>
      <c r="BA45" s="62"/>
      <c r="BF45" s="73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</row>
    <row r="46" spans="1:88" s="72" customFormat="1">
      <c r="A46" s="68"/>
      <c r="B46" s="62"/>
      <c r="C46" s="62"/>
      <c r="D46" s="62"/>
      <c r="E46" s="62"/>
      <c r="F46" s="62"/>
      <c r="G46" s="62"/>
      <c r="H46" s="62"/>
      <c r="I46" s="69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71"/>
      <c r="BA46" s="62"/>
      <c r="BF46" s="73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</row>
    <row r="47" spans="1:88" s="72" customFormat="1">
      <c r="A47" s="68"/>
      <c r="B47" s="62"/>
      <c r="C47" s="62"/>
      <c r="D47" s="62"/>
      <c r="E47" s="62"/>
      <c r="F47" s="62"/>
      <c r="G47" s="62"/>
      <c r="H47" s="62"/>
      <c r="I47" s="69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71"/>
      <c r="BA47" s="62"/>
      <c r="BF47" s="73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</row>
  </sheetData>
  <mergeCells count="89">
    <mergeCell ref="BX7:BX9"/>
    <mergeCell ref="BY7:BY9"/>
    <mergeCell ref="BZ7:BZ9"/>
    <mergeCell ref="CA7:CA9"/>
    <mergeCell ref="CB7:CB9"/>
    <mergeCell ref="CC7:CC9"/>
    <mergeCell ref="CH6:CH9"/>
    <mergeCell ref="CI6:CI9"/>
    <mergeCell ref="CJ6:CJ9"/>
    <mergeCell ref="BM7:BM9"/>
    <mergeCell ref="BN7:BN9"/>
    <mergeCell ref="BO7:BO9"/>
    <mergeCell ref="BP7:BP9"/>
    <mergeCell ref="BQ7:BQ9"/>
    <mergeCell ref="BR7:BR9"/>
    <mergeCell ref="BS7:BS9"/>
    <mergeCell ref="BM6:CC6"/>
    <mergeCell ref="CD6:CD9"/>
    <mergeCell ref="CE6:CE9"/>
    <mergeCell ref="CF6:CF9"/>
    <mergeCell ref="CG6:CG9"/>
    <mergeCell ref="BT7:BT9"/>
    <mergeCell ref="BU7:BU9"/>
    <mergeCell ref="BV7:BV9"/>
    <mergeCell ref="BW7:BW9"/>
    <mergeCell ref="BB8:BB9"/>
    <mergeCell ref="BC8:BC9"/>
    <mergeCell ref="BD8:BD9"/>
    <mergeCell ref="BE8:BE9"/>
    <mergeCell ref="BJ6:BJ9"/>
    <mergeCell ref="BK6:BK9"/>
    <mergeCell ref="BL6:BL9"/>
    <mergeCell ref="AZ7:BE7"/>
    <mergeCell ref="BG7:BG9"/>
    <mergeCell ref="BG6:BI6"/>
    <mergeCell ref="BH7:BH9"/>
    <mergeCell ref="BI7:BI9"/>
    <mergeCell ref="AQ8:AR8"/>
    <mergeCell ref="AS8:AT8"/>
    <mergeCell ref="AU8:AV8"/>
    <mergeCell ref="AW8:AX8"/>
    <mergeCell ref="AZ8:AZ9"/>
    <mergeCell ref="AL8:AL9"/>
    <mergeCell ref="AM8:AM9"/>
    <mergeCell ref="AN8:AN9"/>
    <mergeCell ref="AO8:AO9"/>
    <mergeCell ref="AP8:AP9"/>
    <mergeCell ref="T6:AI6"/>
    <mergeCell ref="AJ6:BE6"/>
    <mergeCell ref="BF6:BF9"/>
    <mergeCell ref="AJ8:AJ9"/>
    <mergeCell ref="T8:U8"/>
    <mergeCell ref="V8:W8"/>
    <mergeCell ref="X8:Y8"/>
    <mergeCell ref="Z8:AA8"/>
    <mergeCell ref="AB8:AC8"/>
    <mergeCell ref="T7:W7"/>
    <mergeCell ref="X7:AC7"/>
    <mergeCell ref="AD7:AI7"/>
    <mergeCell ref="AJ7:AW7"/>
    <mergeCell ref="AY7:AY9"/>
    <mergeCell ref="BA8:BA9"/>
    <mergeCell ref="AK8:AK9"/>
    <mergeCell ref="N8:N9"/>
    <mergeCell ref="O8:O9"/>
    <mergeCell ref="J6:Q7"/>
    <mergeCell ref="R6:S7"/>
    <mergeCell ref="J8:J9"/>
    <mergeCell ref="K8:K9"/>
    <mergeCell ref="L8:L9"/>
    <mergeCell ref="P8:Q8"/>
    <mergeCell ref="R8:R9"/>
    <mergeCell ref="S8:S9"/>
    <mergeCell ref="A3:AI3"/>
    <mergeCell ref="A4:AI4"/>
    <mergeCell ref="A6:A9"/>
    <mergeCell ref="B6:B9"/>
    <mergeCell ref="C6:C9"/>
    <mergeCell ref="D6:D9"/>
    <mergeCell ref="E6:E9"/>
    <mergeCell ref="F6:F9"/>
    <mergeCell ref="G6:H7"/>
    <mergeCell ref="I6:I9"/>
    <mergeCell ref="M8:M9"/>
    <mergeCell ref="G8:G9"/>
    <mergeCell ref="H8:H9"/>
    <mergeCell ref="AD8:AE8"/>
    <mergeCell ref="AF8:AG8"/>
    <mergeCell ref="AH8:AI8"/>
  </mergeCells>
  <phoneticPr fontId="32" type="noConversion"/>
  <pageMargins left="0.23622047244094491" right="0.23622047244094491" top="0.74803149606299213" bottom="0.74803149606299213" header="0.31496062992125984" footer="0.31496062992125984"/>
  <pageSetup paperSize="8" scale="4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T12.25</vt:lpstr>
      <vt:lpstr>T12.25!Print_Area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2026-02-25T13:48:17Z</dcterms:modified>
</cp:coreProperties>
</file>