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31554021-013F-4D80-8BC7-C485FCF7243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01,26" sheetId="58" r:id="rId1"/>
  </sheets>
  <definedNames>
    <definedName name="_xlnm.Print_Area" localSheetId="0">'T01,26'!$A$1:$BU$27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27" i="58" l="1"/>
  <c r="AZ27" i="58"/>
  <c r="BA27" i="58"/>
  <c r="BB27" i="58"/>
  <c r="BC27" i="58"/>
  <c r="BD27" i="58"/>
  <c r="BE27" i="58"/>
  <c r="BF27" i="58"/>
  <c r="BG27" i="58"/>
  <c r="BH27" i="58"/>
  <c r="BI27" i="58"/>
  <c r="BJ27" i="58"/>
  <c r="BK27" i="58"/>
  <c r="BL27" i="58"/>
  <c r="BM27" i="58"/>
  <c r="BO27" i="58"/>
  <c r="BP27" i="58"/>
  <c r="BR27" i="58"/>
  <c r="BS27" i="58"/>
  <c r="D27" i="58"/>
  <c r="BT26" i="58"/>
  <c r="BT25" i="58"/>
  <c r="BT24" i="58"/>
  <c r="BT23" i="58"/>
  <c r="BT22" i="58"/>
  <c r="BT21" i="58"/>
  <c r="BT20" i="58"/>
  <c r="BT19" i="58"/>
  <c r="BT18" i="58"/>
  <c r="BT17" i="58"/>
  <c r="BT16" i="58"/>
  <c r="BT15" i="58"/>
  <c r="BT14" i="58"/>
  <c r="BT13" i="58"/>
  <c r="BT12" i="58"/>
  <c r="BT11" i="58"/>
  <c r="BT27" i="58" s="1"/>
  <c r="AV27" i="58"/>
  <c r="AU27" i="58"/>
  <c r="AT27" i="58"/>
  <c r="AQ27" i="58"/>
  <c r="AG27" i="58"/>
  <c r="R27" i="58"/>
  <c r="Q27" i="58"/>
  <c r="N27" i="58"/>
  <c r="H27" i="58"/>
  <c r="G27" i="58"/>
  <c r="F27" i="58"/>
  <c r="E27" i="58"/>
  <c r="AO26" i="58"/>
  <c r="AM26" i="58"/>
  <c r="AN26" i="58"/>
  <c r="AK26" i="58"/>
  <c r="AI26" i="58"/>
  <c r="AF26" i="58"/>
  <c r="AE26" i="58"/>
  <c r="AO25" i="58"/>
  <c r="AN25" i="58"/>
  <c r="AM25" i="58"/>
  <c r="AL25" i="58"/>
  <c r="AJ25" i="58"/>
  <c r="AK25" i="58"/>
  <c r="AH25" i="58"/>
  <c r="AI25" i="58"/>
  <c r="AF25" i="58"/>
  <c r="AO24" i="58"/>
  <c r="AN24" i="58"/>
  <c r="AM24" i="58"/>
  <c r="AL24" i="58"/>
  <c r="AJ24" i="58"/>
  <c r="AK24" i="58"/>
  <c r="AH24" i="58"/>
  <c r="AI24" i="58"/>
  <c r="AF24" i="58"/>
  <c r="AD24" i="58"/>
  <c r="AO23" i="58"/>
  <c r="AN23" i="58"/>
  <c r="AM23" i="58"/>
  <c r="AL23" i="58"/>
  <c r="AJ23" i="58"/>
  <c r="AK23" i="58"/>
  <c r="AH23" i="58"/>
  <c r="AI23" i="58"/>
  <c r="AF23" i="58"/>
  <c r="AD23" i="58"/>
  <c r="AO22" i="58"/>
  <c r="AN22" i="58"/>
  <c r="AM22" i="58"/>
  <c r="AL22" i="58"/>
  <c r="AJ22" i="58"/>
  <c r="AD22" i="58"/>
  <c r="AK22" i="58"/>
  <c r="AH22" i="58"/>
  <c r="AI22" i="58"/>
  <c r="AF22" i="58"/>
  <c r="AP22" i="58"/>
  <c r="AJ21" i="58"/>
  <c r="AK21" i="58"/>
  <c r="AH21" i="58"/>
  <c r="AI21" i="58"/>
  <c r="AF21" i="58"/>
  <c r="AE21" i="58"/>
  <c r="AJ20" i="58"/>
  <c r="AK20" i="58"/>
  <c r="AH20" i="58"/>
  <c r="AI20" i="58"/>
  <c r="AF20" i="58"/>
  <c r="AJ19" i="58"/>
  <c r="AK19" i="58"/>
  <c r="AH19" i="58"/>
  <c r="AI19" i="58"/>
  <c r="AF19" i="58"/>
  <c r="AD19" i="58"/>
  <c r="AP19" i="58"/>
  <c r="AJ18" i="58"/>
  <c r="AK18" i="58"/>
  <c r="AH18" i="58"/>
  <c r="AI18" i="58"/>
  <c r="AF18" i="58"/>
  <c r="AJ17" i="58"/>
  <c r="AH17" i="58"/>
  <c r="AI17" i="58"/>
  <c r="AF17" i="58"/>
  <c r="AJ16" i="58"/>
  <c r="AO16" i="58"/>
  <c r="AK16" i="58"/>
  <c r="AI16" i="58"/>
  <c r="AF16" i="58"/>
  <c r="AD16" i="58"/>
  <c r="AJ15" i="58"/>
  <c r="AO15" i="58"/>
  <c r="AK15" i="58"/>
  <c r="AH15" i="58"/>
  <c r="AI15" i="58"/>
  <c r="AF15" i="58"/>
  <c r="AD15" i="58"/>
  <c r="AJ14" i="58"/>
  <c r="AK14" i="58"/>
  <c r="AH14" i="58"/>
  <c r="AI14" i="58"/>
  <c r="AF14" i="58"/>
  <c r="AD14" i="58"/>
  <c r="AJ13" i="58"/>
  <c r="AO13" i="58"/>
  <c r="AK13" i="58"/>
  <c r="AH13" i="58"/>
  <c r="AI13" i="58"/>
  <c r="AF13" i="58"/>
  <c r="AJ12" i="58"/>
  <c r="AO12" i="58"/>
  <c r="AK12" i="58"/>
  <c r="AH12" i="58"/>
  <c r="AI12" i="58"/>
  <c r="AF12" i="58"/>
  <c r="AP12" i="58"/>
  <c r="AO11" i="58"/>
  <c r="AN11" i="58"/>
  <c r="AM11" i="58"/>
  <c r="AL11" i="58"/>
  <c r="AJ11" i="58"/>
  <c r="AK11" i="58"/>
  <c r="AL12" i="58" l="1"/>
  <c r="AP24" i="58"/>
  <c r="AP18" i="58"/>
  <c r="AR20" i="58"/>
  <c r="AP23" i="58"/>
  <c r="AM21" i="58"/>
  <c r="AM17" i="58"/>
  <c r="AN19" i="58"/>
  <c r="AD21" i="58"/>
  <c r="AJ27" i="58"/>
  <c r="V27" i="58"/>
  <c r="AN21" i="58"/>
  <c r="AM15" i="58"/>
  <c r="AM19" i="58"/>
  <c r="AL18" i="58"/>
  <c r="AM16" i="58"/>
  <c r="AL16" i="58"/>
  <c r="J27" i="58"/>
  <c r="X27" i="58"/>
  <c r="K27" i="58"/>
  <c r="AL13" i="58"/>
  <c r="AM13" i="58"/>
  <c r="AD17" i="58"/>
  <c r="Y27" i="58"/>
  <c r="L27" i="58"/>
  <c r="AL14" i="58"/>
  <c r="AE16" i="58"/>
  <c r="AN16" i="58"/>
  <c r="AN20" i="58"/>
  <c r="AL20" i="58"/>
  <c r="AR21" i="58"/>
  <c r="AE22" i="58"/>
  <c r="AN18" i="58"/>
  <c r="AL19" i="58"/>
  <c r="AO20" i="58"/>
  <c r="AM20" i="58"/>
  <c r="AE14" i="58"/>
  <c r="AN14" i="58"/>
  <c r="AK17" i="58"/>
  <c r="AK27" i="58" s="1"/>
  <c r="AE15" i="58"/>
  <c r="AP17" i="58"/>
  <c r="AE25" i="58"/>
  <c r="Z27" i="58"/>
  <c r="AE19" i="58"/>
  <c r="AA27" i="58"/>
  <c r="AR18" i="58"/>
  <c r="AO18" i="58"/>
  <c r="AM18" i="58"/>
  <c r="AO19" i="58"/>
  <c r="AD20" i="58"/>
  <c r="AO21" i="58"/>
  <c r="AL26" i="58"/>
  <c r="AP26" i="58"/>
  <c r="AN17" i="58"/>
  <c r="AE20" i="58"/>
  <c r="AR23" i="58"/>
  <c r="AR24" i="58"/>
  <c r="U27" i="58"/>
  <c r="AB27" i="58"/>
  <c r="S27" i="58"/>
  <c r="T27" i="58"/>
  <c r="AM14" i="58"/>
  <c r="AE17" i="58"/>
  <c r="AD26" i="58"/>
  <c r="O27" i="58"/>
  <c r="AM12" i="58"/>
  <c r="AO14" i="58"/>
  <c r="W27" i="58"/>
  <c r="AE11" i="58"/>
  <c r="AD11" i="58"/>
  <c r="AL15" i="58"/>
  <c r="AL17" i="58"/>
  <c r="AN15" i="58"/>
  <c r="AP16" i="58"/>
  <c r="AS27" i="58"/>
  <c r="AR25" i="58"/>
  <c r="AP13" i="58"/>
  <c r="AN13" i="58"/>
  <c r="M27" i="58"/>
  <c r="AR19" i="58"/>
  <c r="AL21" i="58"/>
  <c r="AP25" i="58"/>
  <c r="AF27" i="58"/>
  <c r="AD12" i="58"/>
  <c r="AE12" i="58"/>
  <c r="AD18" i="58"/>
  <c r="P27" i="58"/>
  <c r="AI11" i="58"/>
  <c r="AI27" i="58" s="1"/>
  <c r="AR17" i="58"/>
  <c r="AE18" i="58"/>
  <c r="AE23" i="58"/>
  <c r="AE24" i="58"/>
  <c r="AD25" i="58"/>
  <c r="I27" i="58"/>
  <c r="AC27" i="58"/>
  <c r="AN12" i="58"/>
  <c r="AD13" i="58"/>
  <c r="AE13" i="58"/>
  <c r="AP15" i="58"/>
  <c r="AP20" i="58"/>
  <c r="AH16" i="58"/>
  <c r="AO17" i="58"/>
  <c r="AR15" i="58"/>
  <c r="AM27" i="58" l="1"/>
  <c r="AW16" i="58"/>
  <c r="AX16" i="58" s="1"/>
  <c r="BN16" i="58" s="1"/>
  <c r="BQ16" i="58" s="1"/>
  <c r="BU16" i="58" s="1"/>
  <c r="AW20" i="58"/>
  <c r="AX20" i="58" s="1"/>
  <c r="BN20" i="58" s="1"/>
  <c r="BQ20" i="58" s="1"/>
  <c r="BU20" i="58" s="1"/>
  <c r="AW26" i="58"/>
  <c r="AX26" i="58" s="1"/>
  <c r="BN26" i="58" s="1"/>
  <c r="BQ26" i="58" s="1"/>
  <c r="BU26" i="58" s="1"/>
  <c r="AW17" i="58"/>
  <c r="AX17" i="58" s="1"/>
  <c r="BN17" i="58" s="1"/>
  <c r="BQ17" i="58" s="1"/>
  <c r="BU17" i="58" s="1"/>
  <c r="AW22" i="58"/>
  <c r="AX22" i="58" s="1"/>
  <c r="BN22" i="58" s="1"/>
  <c r="BQ22" i="58" s="1"/>
  <c r="BU22" i="58" s="1"/>
  <c r="AO27" i="58"/>
  <c r="AW21" i="58"/>
  <c r="AX21" i="58" s="1"/>
  <c r="BN21" i="58" s="1"/>
  <c r="BQ21" i="58" s="1"/>
  <c r="BU21" i="58" s="1"/>
  <c r="AL27" i="58"/>
  <c r="AN27" i="58"/>
  <c r="AR27" i="58"/>
  <c r="AW19" i="58"/>
  <c r="AX19" i="58" s="1"/>
  <c r="BN19" i="58" s="1"/>
  <c r="BQ19" i="58" s="1"/>
  <c r="BU19" i="58" s="1"/>
  <c r="AW14" i="58"/>
  <c r="AX14" i="58" s="1"/>
  <c r="BN14" i="58" s="1"/>
  <c r="BQ14" i="58" s="1"/>
  <c r="BU14" i="58" s="1"/>
  <c r="AW25" i="58"/>
  <c r="AX25" i="58" s="1"/>
  <c r="BN25" i="58" s="1"/>
  <c r="BQ25" i="58" s="1"/>
  <c r="BU25" i="58" s="1"/>
  <c r="AW18" i="58"/>
  <c r="AX18" i="58" s="1"/>
  <c r="BN18" i="58" s="1"/>
  <c r="BQ18" i="58" s="1"/>
  <c r="BU18" i="58" s="1"/>
  <c r="AP27" i="58"/>
  <c r="AW24" i="58"/>
  <c r="AX24" i="58" s="1"/>
  <c r="BN24" i="58" s="1"/>
  <c r="BQ24" i="58" s="1"/>
  <c r="BU24" i="58" s="1"/>
  <c r="AW15" i="58"/>
  <c r="AX15" i="58" s="1"/>
  <c r="BN15" i="58" s="1"/>
  <c r="BQ15" i="58" s="1"/>
  <c r="BU15" i="58" s="1"/>
  <c r="AH27" i="58"/>
  <c r="AW23" i="58"/>
  <c r="AX23" i="58" s="1"/>
  <c r="BN23" i="58" s="1"/>
  <c r="BQ23" i="58" s="1"/>
  <c r="BU23" i="58" s="1"/>
  <c r="AE27" i="58"/>
  <c r="AW13" i="58"/>
  <c r="AX13" i="58" s="1"/>
  <c r="BN13" i="58" s="1"/>
  <c r="BQ13" i="58" s="1"/>
  <c r="BU13" i="58" s="1"/>
  <c r="AD27" i="58"/>
  <c r="AW12" i="58"/>
  <c r="AX12" i="58" s="1"/>
  <c r="BN12" i="58" s="1"/>
  <c r="BQ12" i="58" s="1"/>
  <c r="BU12" i="58" s="1"/>
  <c r="AW11" i="58"/>
  <c r="AX11" i="58" s="1"/>
  <c r="AX27" i="58" l="1"/>
  <c r="BN11" i="58"/>
  <c r="BN27" i="58" s="1"/>
  <c r="AW27" i="58"/>
  <c r="BQ11" i="58" l="1"/>
  <c r="BQ27" i="58" s="1"/>
  <c r="BQ29" i="58" l="1"/>
  <c r="BU11" i="58"/>
  <c r="BU27" i="5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6" authorId="0" shapeId="0" xr:uid="{E34C62BB-C8E4-4B5F-A8E8-0A461321254E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Theo qđ 4886 24/6/2024</t>
        </r>
      </text>
    </comment>
    <comment ref="E6" authorId="0" shapeId="0" xr:uid="{AD461BD1-164D-4AF9-8DC3-2AA4F156158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Bỏ cột này vì đã có cột H rồi</t>
        </r>
      </text>
    </comment>
    <comment ref="T6" authorId="0" shapeId="0" xr:uid="{484971EF-A0C0-41DD-9D4E-48A622BF207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Xem lại ghi số tháng 5 hay là tháng 6 cho đúng</t>
        </r>
      </text>
    </comment>
    <comment ref="AW6" authorId="0" shapeId="0" xr:uid="{279298A2-565A-4125-9B8E-DDF0FC938F1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Lên bỏ số tháng không cần ghi (vì đây là bảng lương của tháng 6 đã ghi ngay trên đầu biểu rồi</t>
        </r>
      </text>
    </comment>
    <comment ref="AP7" authorId="0" shapeId="0" xr:uid="{DF63C64F-3343-43B0-889D-7F955DD0773E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Bổ sung cột này</t>
        </r>
      </text>
    </comment>
    <comment ref="AD8" authorId="0" shapeId="0" xr:uid="{7B3ABB16-4AE1-4478-ADB6-1F0663BFBF7A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tháng 12 không tạm trả( đủ 100%)</t>
        </r>
      </text>
    </comment>
    <comment ref="AG8" authorId="0" shapeId="0" xr:uid="{0C6BAFDF-FB27-403B-BB3C-1AAB481B6A0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Tháng 11 không làm BSTN</t>
        </r>
      </text>
    </comment>
    <comment ref="AI8" authorId="0" shapeId="0" xr:uid="{E4FB5954-1986-4490-8540-39763F76C62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Có thể dồn vào cột AN được vì cùng hưởng 1 mức lương (khi tính lương đát j công thức nhân với cột các loại công là được)</t>
        </r>
      </text>
    </comment>
    <comment ref="AK8" authorId="0" shapeId="0" xr:uid="{43AD9697-E324-4D7B-A568-57479847450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Từ T4/2025</t>
        </r>
      </text>
    </comment>
    <comment ref="A10" authorId="0" shapeId="0" xr:uid="{ED5745F6-D5E6-4A9D-904A-C6CBAFF69F8B}">
      <text>
        <r>
          <rPr>
            <b/>
            <sz val="9"/>
            <color indexed="81"/>
            <rFont val="Tahoma"/>
            <family val="2"/>
            <charset val="163"/>
          </rPr>
          <t>Author:</t>
        </r>
        <r>
          <rPr>
            <sz val="9"/>
            <color indexed="81"/>
            <rFont val="Tahoma"/>
            <family val="2"/>
            <charset val="163"/>
          </rPr>
          <t xml:space="preserve">
Đánh lại TT các cột theo yêu cầu ( số 01 bắt đầu từ cột lương chức danh)</t>
        </r>
      </text>
    </comment>
    <comment ref="B10" authorId="0" shapeId="0" xr:uid="{ADD4CB7D-4773-4D95-A881-E96641AE9019}">
      <text>
        <r>
          <rPr>
            <b/>
            <sz val="9"/>
            <color indexed="81"/>
            <rFont val="Tahoma"/>
            <family val="2"/>
            <charset val="163"/>
          </rPr>
          <t>Author:</t>
        </r>
        <r>
          <rPr>
            <sz val="9"/>
            <color indexed="81"/>
            <rFont val="Tahoma"/>
            <family val="2"/>
            <charset val="163"/>
          </rPr>
          <t xml:space="preserve">
Đánh lại TT các cột theo yêu cầu ( số 01 bắt đầu từ cột lương chức danh)</t>
        </r>
      </text>
    </comment>
    <comment ref="C10" authorId="0" shapeId="0" xr:uid="{664BB9EA-CB98-4367-BE07-8382C2BD61E1}">
      <text>
        <r>
          <rPr>
            <b/>
            <sz val="9"/>
            <color indexed="81"/>
            <rFont val="Tahoma"/>
            <family val="2"/>
            <charset val="163"/>
          </rPr>
          <t>Author:</t>
        </r>
        <r>
          <rPr>
            <sz val="9"/>
            <color indexed="81"/>
            <rFont val="Tahoma"/>
            <family val="2"/>
            <charset val="163"/>
          </rPr>
          <t xml:space="preserve">
Đánh lại TT các cột theo yêu cầu ( số 01 bắt đầu từ cột lương chức danh)</t>
        </r>
      </text>
    </comment>
    <comment ref="AE11" authorId="0" shapeId="0" xr:uid="{8E8E237B-442A-4591-B0FE-ACA4034B0C3A}">
      <text>
        <r>
          <rPr>
            <b/>
            <sz val="9"/>
            <color indexed="81"/>
            <rFont val="Tahoma"/>
            <family val="2"/>
          </rPr>
          <t>Author:
Công thức đặt thiếu khi A chua nhân với ô B6 (85% tạm chi lương)</t>
        </r>
      </text>
    </comment>
    <comment ref="AF11" authorId="0" shapeId="0" xr:uid="{022BA181-B03E-4E41-A913-164EDDFA4E4A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Quản lý Không có lương lễ</t>
        </r>
      </text>
    </comment>
    <comment ref="AG12" authorId="0" shapeId="0" xr:uid="{E7D6ABAE-2B39-4BD3-8D28-7A5106989CA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60%</t>
        </r>
      </text>
    </comment>
    <comment ref="AP14" authorId="0" shapeId="0" xr:uid="{6F5FC689-8FBE-43DA-AA45-0B90544C415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bỏ giảm trừ ra vì T1 không chi BSTN</t>
        </r>
      </text>
    </comment>
    <comment ref="O17" authorId="0" shapeId="0" xr:uid="{6CAD0A61-F842-4AF6-AE9A-7B6C50F8C05C}">
      <text>
        <r>
          <rPr>
            <b/>
            <sz val="9"/>
            <color indexed="81"/>
            <rFont val="Tahoma"/>
            <family val="2"/>
            <charset val="163"/>
          </rPr>
          <t>Author:</t>
        </r>
        <r>
          <rPr>
            <sz val="9"/>
            <color indexed="81"/>
            <rFont val="Tahoma"/>
            <family val="2"/>
            <charset val="163"/>
          </rPr>
          <t xml:space="preserve">
2 công kiểm kể tính thêm giờ
</t>
        </r>
      </text>
    </comment>
    <comment ref="AP21" authorId="0" shapeId="0" xr:uid="{1840B590-CF4B-4193-853F-5BA06AF329D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Đề nghị tính giảm trừ khi xếp loại B,C</t>
        </r>
      </text>
    </comment>
    <comment ref="D23" authorId="0" shapeId="0" xr:uid="{D45F15C5-AD70-4ACA-8F09-E55C73AB3E88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QĐ số 8707 29/11/2024</t>
        </r>
      </text>
    </comment>
  </commentList>
</comments>
</file>

<file path=xl/sharedStrings.xml><?xml version="1.0" encoding="utf-8"?>
<sst xmlns="http://schemas.openxmlformats.org/spreadsheetml/2006/main" count="155" uniqueCount="116">
  <si>
    <t>TT</t>
  </si>
  <si>
    <t>Họ và tên</t>
  </si>
  <si>
    <t>Chức danh công việc</t>
  </si>
  <si>
    <t>Tiền lương chức danh công việc</t>
  </si>
  <si>
    <t>Các khoản phụ cấp</t>
  </si>
  <si>
    <t>Xếp loại LĐ</t>
  </si>
  <si>
    <t>Số công trong tháng hưởng lương</t>
  </si>
  <si>
    <t>Công trong tháng không hưởng lương</t>
  </si>
  <si>
    <t xml:space="preserve">Tiền lương cơ bản </t>
  </si>
  <si>
    <t>Tiền lương nghỉ lễ</t>
  </si>
  <si>
    <t>Họ và tên</t>
  </si>
  <si>
    <t>Công đi làm</t>
  </si>
  <si>
    <t>&lt;30 km</t>
  </si>
  <si>
    <t>≥30 km</t>
  </si>
  <si>
    <t>Công nghỉ việc riêng, tạm hoãn HĐ</t>
  </si>
  <si>
    <t>Mức lương</t>
  </si>
  <si>
    <t>Phụ cấp trách nhiệm</t>
  </si>
  <si>
    <t xml:space="preserve">Nguyễn Việt Hải </t>
  </si>
  <si>
    <t>A</t>
  </si>
  <si>
    <t>Tô Huy Lượng</t>
  </si>
  <si>
    <t>Vũ Thanh Thảo</t>
  </si>
  <si>
    <t>GV</t>
  </si>
  <si>
    <t>Dương Công Minh</t>
  </si>
  <si>
    <t>Đặng Văn Tuệ</t>
  </si>
  <si>
    <t>Lý Sinh Quý</t>
  </si>
  <si>
    <t>Tổng cộng</t>
  </si>
  <si>
    <t>Các khoản trừ</t>
  </si>
  <si>
    <t>PC ATVSV</t>
  </si>
  <si>
    <t>Tiền còn lĩnh sau các khoản trừ</t>
  </si>
  <si>
    <t xml:space="preserve">Công CN </t>
  </si>
  <si>
    <t>Số tiền CN</t>
  </si>
  <si>
    <t>Tổng số tiền chuyển lương và CN</t>
  </si>
  <si>
    <t>Trừ 8% BHXH</t>
  </si>
  <si>
    <t xml:space="preserve">Trừ 1,5% BHYT </t>
  </si>
  <si>
    <t>Trừ 1% BHTN</t>
  </si>
  <si>
    <t>Quỹ mái ấm công đoàn</t>
  </si>
  <si>
    <t>Trừ tiền  vay XN  TK 1388</t>
  </si>
  <si>
    <t xml:space="preserve">Trừ  tiền nhà ở, điện nước </t>
  </si>
  <si>
    <t>Trừ tiền nuôi con theo QĐ toàn án + Phí CT</t>
  </si>
  <si>
    <t>QT thuế TNCN 6T</t>
  </si>
  <si>
    <t>Cộng các khoản trừ</t>
  </si>
  <si>
    <t>Trần Trọng Lưu</t>
  </si>
  <si>
    <t>Bùi Thế Luyên</t>
  </si>
  <si>
    <t>Phó PH- TK</t>
  </si>
  <si>
    <t>Nguyễn Công San</t>
  </si>
  <si>
    <t>Hệ GDTX</t>
  </si>
  <si>
    <t>Nghề khác</t>
  </si>
  <si>
    <t>Điện thoại</t>
  </si>
  <si>
    <t>Tiền lương chất lượng công việc</t>
  </si>
  <si>
    <t>TT tổ ĐTBDSC</t>
  </si>
  <si>
    <t>Thạch Quang Nguyên</t>
  </si>
  <si>
    <t>Lê Công Hải</t>
  </si>
  <si>
    <t>Đỗ Nguyên Đạt</t>
  </si>
  <si>
    <t>CNSC</t>
  </si>
  <si>
    <t>B</t>
  </si>
  <si>
    <t>Nguyễn Thị Thu Phương</t>
  </si>
  <si>
    <t>Nguyễn Hoàng Oanh</t>
  </si>
  <si>
    <t>Thực hiện cắt Polyp ở đợt khám sức khỏe</t>
  </si>
  <si>
    <t>Hà Thị Thanh Hoa</t>
  </si>
  <si>
    <t>Tham quan Hồng Kông đoàn 1</t>
  </si>
  <si>
    <t>Nhóm 1</t>
  </si>
  <si>
    <t>Tiền lương sửa chữa, Làm thêm giờ</t>
  </si>
  <si>
    <t>Trừ thuế TNCN T12-2024</t>
  </si>
  <si>
    <t>Trừ thuế TNCN T1-2025</t>
  </si>
  <si>
    <t xml:space="preserve">   TRƯỜNG CAO ĐẲNG THAN - KHOÁNG SẢN VIỆT NAM</t>
  </si>
  <si>
    <t>KHOA CƠ KHÍ, VẬN HÀNH THIẾT BỊ MỎ, PHÂN HIỆU ĐÀO TẠO CẨM PHẢ</t>
  </si>
  <si>
    <t>Tổng lương tháng 01</t>
  </si>
  <si>
    <t>Biểu 06</t>
  </si>
  <si>
    <t>TẬP ĐOÀN CÔNG NGHIỆP THAN - KHOÁNG SẢN VIỆT NAM</t>
  </si>
  <si>
    <t>Mức tiền lương cơ bản (đ/tháng)</t>
  </si>
  <si>
    <t>Tiền lương</t>
  </si>
  <si>
    <t>Công nghỉ lễ</t>
  </si>
  <si>
    <t>Công thử việc</t>
  </si>
  <si>
    <t>Lương phép, hè, học, BD, khác( hưởng lương BHXH)</t>
  </si>
  <si>
    <t>Lương thử việc</t>
  </si>
  <si>
    <t>PC Trách nhiệm</t>
  </si>
  <si>
    <t>PC giáo viên giỏi</t>
  </si>
  <si>
    <t>Khác, 
 / Truy lĩnh nâng lương chức danh T1/2025 (+)</t>
  </si>
  <si>
    <t xml:space="preserve">Khác, 
Truy thu (-) </t>
  </si>
  <si>
    <t>Công không hưởng lương; Công nghỉ hưởng BHXH</t>
  </si>
  <si>
    <t>Các phụ cấp</t>
  </si>
  <si>
    <t xml:space="preserve">Công khác (học, kiểm kê,..)hưởng thêm giờ </t>
  </si>
  <si>
    <t>Công s/c vượt, thêm giờ</t>
  </si>
  <si>
    <t>TBM CN ô tô-VHTB</t>
  </si>
  <si>
    <t>TBM CK-TK</t>
  </si>
  <si>
    <t>BHTT năm 2025</t>
  </si>
  <si>
    <t>Công hưởng lương chức danh ( học, họp, VN,)</t>
  </si>
  <si>
    <t>Tiền lương BSTN tạm trả</t>
  </si>
  <si>
    <t>Tiền lương chức danh khác</t>
  </si>
  <si>
    <t>Giảm trừ BSTN do xếp loại B,C</t>
  </si>
  <si>
    <t>Công khác (phép, học, họp, VN, BD, viêc riêng) hưởng lương BH</t>
  </si>
  <si>
    <t>Từ T1÷3/2025</t>
  </si>
  <si>
    <t>Trừ 0,5% ĐP công đoàn</t>
  </si>
  <si>
    <t>PC - ATV</t>
  </si>
  <si>
    <t>Tiền lương hưởng trong tháng</t>
  </si>
  <si>
    <t>(A)</t>
  </si>
  <si>
    <t>(B)</t>
  </si>
  <si>
    <t>(C)</t>
  </si>
  <si>
    <t>(27=21+…+26)</t>
  </si>
  <si>
    <t>(29=20-27+28)</t>
  </si>
  <si>
    <t>(33=29+30+32)</t>
  </si>
  <si>
    <t>(3)</t>
  </si>
  <si>
    <t>Chu Hoàng Dương</t>
  </si>
  <si>
    <t>GV thử việc</t>
  </si>
  <si>
    <t>Trừ thuế TNCN T12.2025</t>
  </si>
  <si>
    <t>Trừ thuế TNCN T01.2026</t>
  </si>
  <si>
    <t xml:space="preserve">                       BẢNG THANH TOÁN TIỀN LƯƠNG THÁNG 01/2026 </t>
  </si>
  <si>
    <t>Tiền lương đóng BHXH năm 2026</t>
  </si>
  <si>
    <t>Giờ vượt thanh toán tháng 01/2026</t>
  </si>
  <si>
    <t>Năm 2025</t>
  </si>
  <si>
    <t>Lương vượt giờ  Từ T01/2026</t>
  </si>
  <si>
    <t>Lương vượt giờ  năm 2025</t>
  </si>
  <si>
    <t xml:space="preserve">Lương tuyển sinh Hệ A, ngắn hạn </t>
  </si>
  <si>
    <t xml:space="preserve">Lương Tuyển sinh Ngắn hạn </t>
  </si>
  <si>
    <t>Từ T1/2026</t>
  </si>
  <si>
    <t>27=17+…+26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</si>
</sst>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.00_);_(* \(#,##0.00\);_(* &quot;-&quot;??_);_(@_)"/>
    <numFmt numFmtId="165" formatCode="_ * #,##0_ ;_ * \-#,##0_ ;_ * &quot;-&quot;??_ ;_ @_ "/>
    <numFmt numFmtId="166" formatCode="_ * #,##0.0_ ;_ * \-#,##0.0_ ;_ * &quot;-&quot;??_ ;_ @_ "/>
    <numFmt numFmtId="167" formatCode="_ * #,##0.00_ ;_ * \-#,##0.00_ ;_ * &quot;-&quot;??_ ;_ @_ "/>
    <numFmt numFmtId="168" formatCode="0.0%"/>
    <numFmt numFmtId="169" formatCode="_(* #,##0_);_(* \(#,##0\);_(* &quot;-&quot;??_);_(@_)"/>
    <numFmt numFmtId="170" formatCode="_(* #,##0.0_);_(* \(#,##0.0\);_(* &quot;-&quot;??_);_(@_)"/>
  </numFmts>
  <fonts count="32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2"/>
      <name val=".VnTime"/>
      <family val="2"/>
    </font>
    <font>
      <sz val="8"/>
      <name val="Times New Roman"/>
      <family val="1"/>
    </font>
    <font>
      <sz val="10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2"/>
      <name val=".VnTime"/>
      <family val="2"/>
    </font>
    <font>
      <sz val="11"/>
      <color indexed="8"/>
      <name val="Times New Roman"/>
      <family val="2"/>
    </font>
    <font>
      <sz val="10"/>
      <name val="Arial"/>
      <family val="2"/>
      <charset val="163"/>
    </font>
    <font>
      <sz val="11"/>
      <color indexed="8"/>
      <name val="Times New Roman"/>
      <family val="1"/>
    </font>
    <font>
      <sz val="12"/>
      <name val="Times New Roman"/>
      <family val="1"/>
      <charset val="163"/>
    </font>
    <font>
      <sz val="12"/>
      <color theme="1"/>
      <name val="Times New Roman"/>
      <family val="2"/>
    </font>
    <font>
      <sz val="11"/>
      <color theme="1"/>
      <name val="Times New Roman"/>
      <family val="2"/>
      <charset val="163"/>
    </font>
    <font>
      <b/>
      <u/>
      <sz val="12"/>
      <name val="Times New Roman"/>
      <family val="1"/>
    </font>
    <font>
      <sz val="10"/>
      <name val=".VnTime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0"/>
      <name val="Times New Roman"/>
      <family val="1"/>
    </font>
    <font>
      <b/>
      <sz val="9"/>
      <color indexed="81"/>
      <name val="Tahoma"/>
      <family val="2"/>
      <charset val="163"/>
    </font>
    <font>
      <sz val="9"/>
      <name val="Times New Roman"/>
      <family val="1"/>
    </font>
    <font>
      <b/>
      <sz val="10"/>
      <name val="Times New Roman"/>
      <family val="1"/>
    </font>
    <font>
      <sz val="9"/>
      <color indexed="81"/>
      <name val="Tahoma"/>
      <family val="2"/>
      <charset val="163"/>
    </font>
    <font>
      <sz val="14"/>
      <name val="Times New Roman"/>
      <family val="1"/>
    </font>
    <font>
      <sz val="12"/>
      <name val="Cambria"/>
      <family val="1"/>
      <scheme val="major"/>
    </font>
    <font>
      <b/>
      <sz val="12"/>
      <name val="Cambria"/>
      <family val="2"/>
      <scheme val="major"/>
    </font>
    <font>
      <i/>
      <sz val="9"/>
      <name val="Times New Roman"/>
      <family val="1"/>
    </font>
    <font>
      <sz val="9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41">
    <xf numFmtId="0" fontId="0" fillId="0" borderId="0"/>
    <xf numFmtId="167" fontId="3" fillId="0" borderId="0" applyFont="0" applyFill="0" applyBorder="0" applyAlignment="0" applyProtection="0"/>
    <xf numFmtId="0" fontId="5" fillId="0" borderId="0"/>
    <xf numFmtId="164" fontId="3" fillId="0" borderId="0" applyFont="0" applyFill="0" applyBorder="0" applyAlignment="0" applyProtection="0"/>
    <xf numFmtId="0" fontId="11" fillId="0" borderId="0"/>
    <xf numFmtId="0" fontId="10" fillId="0" borderId="0"/>
    <xf numFmtId="164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3" fillId="0" borderId="0"/>
    <xf numFmtId="0" fontId="14" fillId="0" borderId="0"/>
    <xf numFmtId="9" fontId="1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7" fillId="0" borderId="0">
      <alignment vertical="top"/>
    </xf>
    <xf numFmtId="0" fontId="17" fillId="0" borderId="0">
      <alignment vertical="top"/>
    </xf>
    <xf numFmtId="0" fontId="10" fillId="0" borderId="0"/>
    <xf numFmtId="0" fontId="17" fillId="0" borderId="0"/>
    <xf numFmtId="164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9" fillId="0" borderId="0">
      <alignment vertical="top"/>
    </xf>
    <xf numFmtId="43" fontId="10" fillId="0" borderId="0" applyFont="0" applyFill="0" applyBorder="0" applyAlignment="0" applyProtection="0"/>
  </cellStyleXfs>
  <cellXfs count="19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168" fontId="1" fillId="2" borderId="0" xfId="1" applyNumberFormat="1" applyFont="1" applyFill="1" applyAlignment="1">
      <alignment vertical="center"/>
    </xf>
    <xf numFmtId="165" fontId="1" fillId="2" borderId="0" xfId="1" applyNumberFormat="1" applyFont="1" applyFill="1" applyAlignment="1">
      <alignment vertical="center"/>
    </xf>
    <xf numFmtId="166" fontId="1" fillId="2" borderId="0" xfId="0" applyNumberFormat="1" applyFont="1" applyFill="1" applyAlignment="1">
      <alignment horizontal="center" vertical="center"/>
    </xf>
    <xf numFmtId="165" fontId="1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horizontal="righ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9" fillId="2" borderId="0" xfId="0" applyFont="1" applyFill="1" applyAlignment="1">
      <alignment vertical="center" shrinkToFit="1"/>
    </xf>
    <xf numFmtId="165" fontId="9" fillId="2" borderId="6" xfId="7" applyNumberFormat="1" applyFont="1" applyFill="1" applyBorder="1" applyAlignment="1">
      <alignment horizontal="center" vertical="center" shrinkToFit="1"/>
    </xf>
    <xf numFmtId="3" fontId="9" fillId="2" borderId="6" xfId="2" applyNumberFormat="1" applyFont="1" applyFill="1" applyBorder="1" applyAlignment="1">
      <alignment horizontal="center" vertical="center" shrinkToFit="1"/>
    </xf>
    <xf numFmtId="165" fontId="9" fillId="2" borderId="5" xfId="7" applyNumberFormat="1" applyFont="1" applyFill="1" applyBorder="1" applyAlignment="1">
      <alignment horizontal="center" vertical="center" shrinkToFit="1"/>
    </xf>
    <xf numFmtId="3" fontId="9" fillId="2" borderId="5" xfId="2" applyNumberFormat="1" applyFont="1" applyFill="1" applyBorder="1" applyAlignment="1">
      <alignment horizontal="center" vertical="center" shrinkToFit="1"/>
    </xf>
    <xf numFmtId="0" fontId="9" fillId="2" borderId="5" xfId="0" applyFont="1" applyFill="1" applyBorder="1" applyAlignment="1">
      <alignment horizontal="center" vertical="center"/>
    </xf>
    <xf numFmtId="0" fontId="27" fillId="2" borderId="0" xfId="0" applyFont="1" applyFill="1"/>
    <xf numFmtId="0" fontId="22" fillId="2" borderId="0" xfId="0" applyFont="1" applyFill="1" applyAlignment="1">
      <alignment vertical="center"/>
    </xf>
    <xf numFmtId="166" fontId="1" fillId="2" borderId="0" xfId="0" applyNumberFormat="1" applyFont="1" applyFill="1" applyAlignment="1">
      <alignment vertical="center"/>
    </xf>
    <xf numFmtId="166" fontId="18" fillId="2" borderId="0" xfId="0" applyNumberFormat="1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8" fillId="2" borderId="0" xfId="0" applyFont="1" applyFill="1" applyAlignment="1">
      <alignment horizontal="right" vertical="center"/>
    </xf>
    <xf numFmtId="0" fontId="28" fillId="2" borderId="0" xfId="0" applyFont="1" applyFill="1" applyAlignment="1">
      <alignment vertical="center"/>
    </xf>
    <xf numFmtId="0" fontId="28" fillId="2" borderId="15" xfId="0" applyFont="1" applyFill="1" applyBorder="1" applyAlignment="1">
      <alignment horizontal="center" vertical="center"/>
    </xf>
    <xf numFmtId="0" fontId="28" fillId="2" borderId="16" xfId="0" applyFont="1" applyFill="1" applyBorder="1" applyAlignment="1">
      <alignment horizontal="center" vertical="center"/>
    </xf>
    <xf numFmtId="0" fontId="28" fillId="2" borderId="16" xfId="0" applyFont="1" applyFill="1" applyBorder="1" applyAlignment="1">
      <alignment vertical="center"/>
    </xf>
    <xf numFmtId="0" fontId="28" fillId="2" borderId="17" xfId="0" applyFont="1" applyFill="1" applyBorder="1" applyAlignment="1">
      <alignment vertical="center"/>
    </xf>
    <xf numFmtId="0" fontId="29" fillId="2" borderId="0" xfId="0" applyFont="1" applyFill="1" applyAlignment="1">
      <alignment vertical="center"/>
    </xf>
    <xf numFmtId="0" fontId="28" fillId="2" borderId="0" xfId="0" applyFont="1" applyFill="1" applyAlignment="1">
      <alignment horizontal="center" vertical="center"/>
    </xf>
    <xf numFmtId="165" fontId="28" fillId="2" borderId="0" xfId="0" applyNumberFormat="1" applyFont="1" applyFill="1" applyAlignment="1">
      <alignment vertical="center"/>
    </xf>
    <xf numFmtId="166" fontId="28" fillId="2" borderId="0" xfId="0" applyNumberFormat="1" applyFont="1" applyFill="1" applyAlignment="1">
      <alignment horizontal="center" vertical="center"/>
    </xf>
    <xf numFmtId="0" fontId="28" fillId="2" borderId="0" xfId="0" applyFont="1" applyFill="1" applyAlignment="1">
      <alignment horizontal="right" vertical="center"/>
    </xf>
    <xf numFmtId="165" fontId="28" fillId="2" borderId="0" xfId="1" applyNumberFormat="1" applyFont="1" applyFill="1" applyAlignment="1">
      <alignment vertical="center"/>
    </xf>
    <xf numFmtId="165" fontId="28" fillId="2" borderId="0" xfId="1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169" fontId="24" fillId="2" borderId="6" xfId="1" applyNumberFormat="1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vertical="center"/>
    </xf>
    <xf numFmtId="165" fontId="1" fillId="2" borderId="5" xfId="6" applyNumberFormat="1" applyFont="1" applyFill="1" applyBorder="1" applyAlignment="1">
      <alignment vertical="center" shrinkToFit="1"/>
    </xf>
    <xf numFmtId="0" fontId="2" fillId="2" borderId="4" xfId="0" applyFont="1" applyFill="1" applyBorder="1" applyAlignment="1">
      <alignment horizontal="center" vertical="center" wrapText="1"/>
    </xf>
    <xf numFmtId="0" fontId="28" fillId="2" borderId="0" xfId="0" applyFont="1" applyFill="1"/>
    <xf numFmtId="0" fontId="9" fillId="2" borderId="4" xfId="0" applyFont="1" applyFill="1" applyBorder="1" applyAlignment="1">
      <alignment horizontal="center" vertical="center" wrapText="1"/>
    </xf>
    <xf numFmtId="0" fontId="9" fillId="2" borderId="0" xfId="0" applyFont="1" applyFill="1"/>
    <xf numFmtId="165" fontId="1" fillId="2" borderId="5" xfId="1" applyNumberFormat="1" applyFont="1" applyFill="1" applyBorder="1" applyAlignment="1">
      <alignment vertical="center" shrinkToFit="1"/>
    </xf>
    <xf numFmtId="165" fontId="8" fillId="2" borderId="5" xfId="1" applyNumberFormat="1" applyFont="1" applyFill="1" applyBorder="1" applyAlignment="1">
      <alignment vertical="center" shrinkToFit="1"/>
    </xf>
    <xf numFmtId="0" fontId="4" fillId="2" borderId="5" xfId="0" applyFont="1" applyFill="1" applyBorder="1" applyAlignment="1">
      <alignment horizontal="center" vertical="center" wrapText="1"/>
    </xf>
    <xf numFmtId="169" fontId="24" fillId="2" borderId="2" xfId="1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left" vertical="center"/>
    </xf>
    <xf numFmtId="0" fontId="9" fillId="2" borderId="20" xfId="0" applyFont="1" applyFill="1" applyBorder="1" applyAlignment="1">
      <alignment horizontal="center" vertical="center"/>
    </xf>
    <xf numFmtId="0" fontId="24" fillId="2" borderId="20" xfId="0" applyFont="1" applyFill="1" applyBorder="1" applyAlignment="1">
      <alignment horizontal="left" vertical="center"/>
    </xf>
    <xf numFmtId="0" fontId="24" fillId="2" borderId="20" xfId="0" applyFont="1" applyFill="1" applyBorder="1" applyAlignment="1">
      <alignment horizontal="center" vertical="center"/>
    </xf>
    <xf numFmtId="165" fontId="1" fillId="2" borderId="20" xfId="6" applyNumberFormat="1" applyFont="1" applyFill="1" applyBorder="1" applyAlignment="1">
      <alignment vertical="center" shrinkToFit="1"/>
    </xf>
    <xf numFmtId="165" fontId="1" fillId="2" borderId="20" xfId="1" applyNumberFormat="1" applyFont="1" applyFill="1" applyBorder="1" applyAlignment="1">
      <alignment vertical="center" shrinkToFit="1"/>
    </xf>
    <xf numFmtId="165" fontId="8" fillId="2" borderId="20" xfId="1" applyNumberFormat="1" applyFont="1" applyFill="1" applyBorder="1" applyAlignment="1">
      <alignment vertical="center" shrinkToFit="1"/>
    </xf>
    <xf numFmtId="0" fontId="25" fillId="2" borderId="1" xfId="0" applyFont="1" applyFill="1" applyBorder="1" applyAlignment="1">
      <alignment horizontal="center" vertical="center"/>
    </xf>
    <xf numFmtId="9" fontId="1" fillId="2" borderId="0" xfId="1" applyNumberFormat="1" applyFont="1" applyFill="1" applyAlignment="1">
      <alignment horizontal="center" vertical="center"/>
    </xf>
    <xf numFmtId="169" fontId="24" fillId="2" borderId="2" xfId="1" applyNumberFormat="1" applyFont="1" applyFill="1" applyBorder="1" applyAlignment="1">
      <alignment vertical="center" wrapText="1"/>
    </xf>
    <xf numFmtId="169" fontId="30" fillId="2" borderId="1" xfId="1" applyNumberFormat="1" applyFont="1" applyFill="1" applyBorder="1" applyAlignment="1">
      <alignment vertical="center" shrinkToFit="1"/>
    </xf>
    <xf numFmtId="0" fontId="31" fillId="2" borderId="0" xfId="0" applyFont="1" applyFill="1" applyAlignment="1">
      <alignment vertical="center"/>
    </xf>
    <xf numFmtId="169" fontId="24" fillId="2" borderId="2" xfId="1" applyNumberFormat="1" applyFont="1" applyFill="1" applyBorder="1" applyAlignment="1">
      <alignment vertical="center" shrinkToFit="1"/>
    </xf>
    <xf numFmtId="169" fontId="24" fillId="2" borderId="1" xfId="1" applyNumberFormat="1" applyFont="1" applyFill="1" applyBorder="1" applyAlignment="1">
      <alignment horizontal="center" vertical="center" shrinkToFit="1"/>
    </xf>
    <xf numFmtId="169" fontId="24" fillId="2" borderId="2" xfId="1" quotePrefix="1" applyNumberFormat="1" applyFont="1" applyFill="1" applyBorder="1" applyAlignment="1">
      <alignment horizontal="center" vertical="center" shrinkToFit="1"/>
    </xf>
    <xf numFmtId="169" fontId="24" fillId="2" borderId="2" xfId="1" applyNumberFormat="1" applyFont="1" applyFill="1" applyBorder="1" applyAlignment="1">
      <alignment horizontal="center" vertical="center" shrinkToFit="1"/>
    </xf>
    <xf numFmtId="166" fontId="24" fillId="2" borderId="2" xfId="1" applyNumberFormat="1" applyFont="1" applyFill="1" applyBorder="1" applyAlignment="1">
      <alignment vertical="center" shrinkToFit="1"/>
    </xf>
    <xf numFmtId="169" fontId="24" fillId="2" borderId="1" xfId="1" quotePrefix="1" applyNumberFormat="1" applyFont="1" applyFill="1" applyBorder="1" applyAlignment="1">
      <alignment vertical="center" shrinkToFit="1"/>
    </xf>
    <xf numFmtId="169" fontId="24" fillId="2" borderId="6" xfId="1" applyNumberFormat="1" applyFont="1" applyFill="1" applyBorder="1" applyAlignment="1">
      <alignment vertical="center" shrinkToFit="1"/>
    </xf>
    <xf numFmtId="0" fontId="31" fillId="2" borderId="6" xfId="0" applyFont="1" applyFill="1" applyBorder="1" applyAlignment="1">
      <alignment vertical="center" shrinkToFit="1"/>
    </xf>
    <xf numFmtId="43" fontId="31" fillId="2" borderId="6" xfId="40" applyFont="1" applyFill="1" applyBorder="1" applyAlignment="1">
      <alignment vertical="center" shrinkToFit="1"/>
    </xf>
    <xf numFmtId="3" fontId="9" fillId="2" borderId="6" xfId="1" applyNumberFormat="1" applyFont="1" applyFill="1" applyBorder="1" applyAlignment="1">
      <alignment vertical="center" shrinkToFit="1"/>
    </xf>
    <xf numFmtId="169" fontId="9" fillId="2" borderId="6" xfId="1" applyNumberFormat="1" applyFont="1" applyFill="1" applyBorder="1" applyAlignment="1">
      <alignment vertical="center" shrinkToFit="1"/>
    </xf>
    <xf numFmtId="165" fontId="9" fillId="2" borderId="6" xfId="3" applyNumberFormat="1" applyFont="1" applyFill="1" applyBorder="1" applyAlignment="1">
      <alignment horizontal="center" vertical="center" shrinkToFit="1"/>
    </xf>
    <xf numFmtId="165" fontId="9" fillId="2" borderId="6" xfId="3" applyNumberFormat="1" applyFont="1" applyFill="1" applyBorder="1" applyAlignment="1">
      <alignment vertical="center" shrinkToFit="1"/>
    </xf>
    <xf numFmtId="170" fontId="9" fillId="2" borderId="6" xfId="1" applyNumberFormat="1" applyFont="1" applyFill="1" applyBorder="1" applyAlignment="1">
      <alignment vertical="center" shrinkToFit="1"/>
    </xf>
    <xf numFmtId="166" fontId="9" fillId="2" borderId="6" xfId="1" applyNumberFormat="1" applyFont="1" applyFill="1" applyBorder="1" applyAlignment="1">
      <alignment vertical="center" shrinkToFit="1"/>
    </xf>
    <xf numFmtId="3" fontId="9" fillId="2" borderId="6" xfId="0" applyNumberFormat="1" applyFont="1" applyFill="1" applyBorder="1" applyAlignment="1">
      <alignment horizontal="center" vertical="center" shrinkToFit="1"/>
    </xf>
    <xf numFmtId="165" fontId="9" fillId="2" borderId="6" xfId="1" applyNumberFormat="1" applyFont="1" applyFill="1" applyBorder="1" applyAlignment="1">
      <alignment vertical="center" shrinkToFit="1"/>
    </xf>
    <xf numFmtId="165" fontId="9" fillId="2" borderId="5" xfId="1" applyNumberFormat="1" applyFont="1" applyFill="1" applyBorder="1" applyAlignment="1" applyProtection="1">
      <alignment vertical="center" shrinkToFit="1"/>
    </xf>
    <xf numFmtId="165" fontId="9" fillId="2" borderId="6" xfId="1" applyNumberFormat="1" applyFont="1" applyFill="1" applyBorder="1" applyAlignment="1" applyProtection="1">
      <alignment vertical="center" shrinkToFit="1"/>
    </xf>
    <xf numFmtId="169" fontId="9" fillId="2" borderId="6" xfId="1" applyNumberFormat="1" applyFont="1" applyFill="1" applyBorder="1" applyAlignment="1">
      <alignment horizontal="right" vertical="center" shrinkToFit="1"/>
    </xf>
    <xf numFmtId="165" fontId="25" fillId="2" borderId="6" xfId="0" applyNumberFormat="1" applyFont="1" applyFill="1" applyBorder="1" applyAlignment="1">
      <alignment horizontal="center" vertical="center" shrinkToFit="1"/>
    </xf>
    <xf numFmtId="3" fontId="9" fillId="2" borderId="5" xfId="1" applyNumberFormat="1" applyFont="1" applyFill="1" applyBorder="1" applyAlignment="1">
      <alignment vertical="center" shrinkToFit="1"/>
    </xf>
    <xf numFmtId="165" fontId="9" fillId="2" borderId="5" xfId="3" applyNumberFormat="1" applyFont="1" applyFill="1" applyBorder="1" applyAlignment="1">
      <alignment horizontal="center" vertical="center" shrinkToFit="1"/>
    </xf>
    <xf numFmtId="165" fontId="9" fillId="2" borderId="5" xfId="3" applyNumberFormat="1" applyFont="1" applyFill="1" applyBorder="1" applyAlignment="1">
      <alignment vertical="center" shrinkToFit="1"/>
    </xf>
    <xf numFmtId="166" fontId="9" fillId="2" borderId="5" xfId="3" applyNumberFormat="1" applyFont="1" applyFill="1" applyBorder="1" applyAlignment="1">
      <alignment vertical="center" shrinkToFit="1"/>
    </xf>
    <xf numFmtId="170" fontId="9" fillId="2" borderId="5" xfId="1" applyNumberFormat="1" applyFont="1" applyFill="1" applyBorder="1" applyAlignment="1">
      <alignment vertical="center" shrinkToFit="1"/>
    </xf>
    <xf numFmtId="166" fontId="9" fillId="2" borderId="5" xfId="1" applyNumberFormat="1" applyFont="1" applyFill="1" applyBorder="1" applyAlignment="1">
      <alignment vertical="center" shrinkToFit="1"/>
    </xf>
    <xf numFmtId="3" fontId="9" fillId="2" borderId="5" xfId="0" applyNumberFormat="1" applyFont="1" applyFill="1" applyBorder="1" applyAlignment="1">
      <alignment horizontal="center" vertical="center" shrinkToFit="1"/>
    </xf>
    <xf numFmtId="165" fontId="9" fillId="2" borderId="5" xfId="1" applyNumberFormat="1" applyFont="1" applyFill="1" applyBorder="1" applyAlignment="1">
      <alignment vertical="center" shrinkToFit="1"/>
    </xf>
    <xf numFmtId="169" fontId="9" fillId="2" borderId="5" xfId="1" applyNumberFormat="1" applyFont="1" applyFill="1" applyBorder="1" applyAlignment="1">
      <alignment vertical="center" shrinkToFit="1"/>
    </xf>
    <xf numFmtId="169" fontId="9" fillId="2" borderId="5" xfId="6" applyNumberFormat="1" applyFont="1" applyFill="1" applyBorder="1" applyAlignment="1">
      <alignment vertical="center" shrinkToFit="1"/>
    </xf>
    <xf numFmtId="165" fontId="25" fillId="2" borderId="5" xfId="0" applyNumberFormat="1" applyFont="1" applyFill="1" applyBorder="1" applyAlignment="1">
      <alignment horizontal="center" vertical="center" shrinkToFit="1"/>
    </xf>
    <xf numFmtId="164" fontId="9" fillId="2" borderId="5" xfId="1" applyNumberFormat="1" applyFont="1" applyFill="1" applyBorder="1" applyAlignment="1">
      <alignment vertical="center" shrinkToFit="1"/>
    </xf>
    <xf numFmtId="3" fontId="9" fillId="2" borderId="5" xfId="39" applyNumberFormat="1" applyFont="1" applyFill="1" applyBorder="1" applyAlignment="1">
      <alignment horizontal="right" vertical="center" shrinkToFit="1"/>
    </xf>
    <xf numFmtId="165" fontId="9" fillId="2" borderId="5" xfId="1" applyNumberFormat="1" applyFont="1" applyFill="1" applyBorder="1" applyAlignment="1" applyProtection="1">
      <alignment horizontal="right" vertical="center" shrinkToFit="1"/>
    </xf>
    <xf numFmtId="165" fontId="24" fillId="2" borderId="5" xfId="1" applyNumberFormat="1" applyFont="1" applyFill="1" applyBorder="1" applyAlignment="1">
      <alignment vertical="center" shrinkToFit="1"/>
    </xf>
    <xf numFmtId="165" fontId="25" fillId="2" borderId="5" xfId="0" applyNumberFormat="1" applyFont="1" applyFill="1" applyBorder="1" applyAlignment="1">
      <alignment vertical="center" shrinkToFit="1"/>
    </xf>
    <xf numFmtId="3" fontId="9" fillId="2" borderId="20" xfId="1" applyNumberFormat="1" applyFont="1" applyFill="1" applyBorder="1" applyAlignment="1">
      <alignment vertical="center" shrinkToFit="1"/>
    </xf>
    <xf numFmtId="3" fontId="9" fillId="2" borderId="20" xfId="2" applyNumberFormat="1" applyFont="1" applyFill="1" applyBorder="1" applyAlignment="1">
      <alignment horizontal="center" vertical="center" shrinkToFit="1"/>
    </xf>
    <xf numFmtId="165" fontId="9" fillId="2" borderId="20" xfId="7" applyNumberFormat="1" applyFont="1" applyFill="1" applyBorder="1" applyAlignment="1">
      <alignment horizontal="center" vertical="center" shrinkToFit="1"/>
    </xf>
    <xf numFmtId="165" fontId="9" fillId="2" borderId="20" xfId="3" applyNumberFormat="1" applyFont="1" applyFill="1" applyBorder="1" applyAlignment="1">
      <alignment horizontal="center" vertical="center" shrinkToFit="1"/>
    </xf>
    <xf numFmtId="165" fontId="9" fillId="2" borderId="20" xfId="3" applyNumberFormat="1" applyFont="1" applyFill="1" applyBorder="1" applyAlignment="1">
      <alignment vertical="center" shrinkToFit="1"/>
    </xf>
    <xf numFmtId="164" fontId="9" fillId="2" borderId="20" xfId="1" applyNumberFormat="1" applyFont="1" applyFill="1" applyBorder="1" applyAlignment="1">
      <alignment vertical="center" shrinkToFit="1"/>
    </xf>
    <xf numFmtId="170" fontId="9" fillId="2" borderId="20" xfId="1" applyNumberFormat="1" applyFont="1" applyFill="1" applyBorder="1" applyAlignment="1">
      <alignment vertical="center" shrinkToFit="1"/>
    </xf>
    <xf numFmtId="166" fontId="9" fillId="2" borderId="20" xfId="3" applyNumberFormat="1" applyFont="1" applyFill="1" applyBorder="1" applyAlignment="1">
      <alignment vertical="center" shrinkToFit="1"/>
    </xf>
    <xf numFmtId="3" fontId="9" fillId="2" borderId="20" xfId="0" applyNumberFormat="1" applyFont="1" applyFill="1" applyBorder="1" applyAlignment="1">
      <alignment horizontal="center" vertical="center" shrinkToFit="1"/>
    </xf>
    <xf numFmtId="165" fontId="9" fillId="2" borderId="20" xfId="1" applyNumberFormat="1" applyFont="1" applyFill="1" applyBorder="1" applyAlignment="1">
      <alignment vertical="center" shrinkToFit="1"/>
    </xf>
    <xf numFmtId="165" fontId="24" fillId="2" borderId="20" xfId="1" applyNumberFormat="1" applyFont="1" applyFill="1" applyBorder="1" applyAlignment="1">
      <alignment vertical="center" shrinkToFit="1"/>
    </xf>
    <xf numFmtId="169" fontId="9" fillId="2" borderId="20" xfId="1" applyNumberFormat="1" applyFont="1" applyFill="1" applyBorder="1" applyAlignment="1">
      <alignment vertical="center" shrinkToFit="1"/>
    </xf>
    <xf numFmtId="165" fontId="9" fillId="2" borderId="20" xfId="1" applyNumberFormat="1" applyFont="1" applyFill="1" applyBorder="1" applyAlignment="1" applyProtection="1">
      <alignment vertical="center" shrinkToFit="1"/>
    </xf>
    <xf numFmtId="169" fontId="9" fillId="2" borderId="20" xfId="6" applyNumberFormat="1" applyFont="1" applyFill="1" applyBorder="1" applyAlignment="1">
      <alignment vertical="center" shrinkToFit="1"/>
    </xf>
    <xf numFmtId="165" fontId="9" fillId="2" borderId="20" xfId="1" applyNumberFormat="1" applyFont="1" applyFill="1" applyBorder="1" applyAlignment="1" applyProtection="1">
      <alignment horizontal="right" vertical="center" shrinkToFit="1"/>
    </xf>
    <xf numFmtId="165" fontId="25" fillId="2" borderId="20" xfId="0" applyNumberFormat="1" applyFont="1" applyFill="1" applyBorder="1" applyAlignment="1">
      <alignment horizontal="center" vertical="center" shrinkToFit="1"/>
    </xf>
    <xf numFmtId="165" fontId="25" fillId="2" borderId="1" xfId="1" applyNumberFormat="1" applyFont="1" applyFill="1" applyBorder="1" applyAlignment="1">
      <alignment vertical="center" shrinkToFit="1"/>
    </xf>
    <xf numFmtId="166" fontId="25" fillId="2" borderId="1" xfId="1" applyNumberFormat="1" applyFont="1" applyFill="1" applyBorder="1" applyAlignment="1">
      <alignment vertical="center" shrinkToFit="1"/>
    </xf>
    <xf numFmtId="165" fontId="8" fillId="2" borderId="0" xfId="1" applyNumberFormat="1" applyFont="1" applyFill="1" applyBorder="1" applyAlignment="1">
      <alignment vertical="center" shrinkToFit="1"/>
    </xf>
    <xf numFmtId="167" fontId="8" fillId="2" borderId="0" xfId="1" applyFont="1" applyFill="1" applyBorder="1" applyAlignment="1">
      <alignment vertical="center" shrinkToFit="1"/>
    </xf>
    <xf numFmtId="165" fontId="9" fillId="2" borderId="0" xfId="0" applyNumberFormat="1" applyFont="1" applyFill="1" applyAlignment="1">
      <alignment vertical="center" shrinkToFit="1"/>
    </xf>
    <xf numFmtId="0" fontId="28" fillId="2" borderId="0" xfId="0" applyFont="1" applyFill="1" applyAlignment="1">
      <alignment vertical="center" shrinkToFit="1"/>
    </xf>
    <xf numFmtId="165" fontId="28" fillId="2" borderId="0" xfId="0" applyNumberFormat="1" applyFont="1" applyFill="1" applyAlignment="1">
      <alignment vertical="center" shrinkToFit="1"/>
    </xf>
    <xf numFmtId="0" fontId="28" fillId="2" borderId="0" xfId="0" applyFont="1" applyFill="1" applyAlignment="1">
      <alignment horizontal="center" vertical="center" shrinkToFit="1"/>
    </xf>
    <xf numFmtId="166" fontId="28" fillId="2" borderId="0" xfId="0" applyNumberFormat="1" applyFont="1" applyFill="1" applyAlignment="1">
      <alignment horizontal="center" vertical="center" shrinkToFit="1"/>
    </xf>
    <xf numFmtId="0" fontId="28" fillId="2" borderId="0" xfId="0" applyFont="1" applyFill="1" applyAlignment="1">
      <alignment horizontal="right" vertical="center" shrinkToFit="1"/>
    </xf>
    <xf numFmtId="0" fontId="2" fillId="2" borderId="0" xfId="0" applyFont="1" applyFill="1" applyAlignment="1">
      <alignment vertical="center" shrinkToFit="1"/>
    </xf>
    <xf numFmtId="165" fontId="2" fillId="2" borderId="0" xfId="0" applyNumberFormat="1" applyFont="1" applyFill="1" applyAlignment="1">
      <alignment vertical="center" shrinkToFit="1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4" fillId="2" borderId="10" xfId="0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textRotation="90" wrapText="1"/>
    </xf>
    <xf numFmtId="0" fontId="24" fillId="2" borderId="4" xfId="0" applyFont="1" applyFill="1" applyBorder="1" applyAlignment="1">
      <alignment horizontal="center" vertical="center" textRotation="90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166" fontId="2" fillId="2" borderId="7" xfId="0" applyNumberFormat="1" applyFont="1" applyFill="1" applyBorder="1" applyAlignment="1">
      <alignment horizontal="center" vertical="center" wrapText="1"/>
    </xf>
    <xf numFmtId="166" fontId="2" fillId="2" borderId="8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" fillId="2" borderId="2" xfId="2" applyFont="1" applyFill="1" applyBorder="1" applyAlignment="1">
      <alignment horizontal="center" vertical="center" wrapText="1"/>
    </xf>
    <xf numFmtId="0" fontId="1" fillId="2" borderId="4" xfId="2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textRotation="90" wrapText="1"/>
    </xf>
    <xf numFmtId="0" fontId="9" fillId="2" borderId="4" xfId="0" applyFont="1" applyFill="1" applyBorder="1" applyAlignment="1">
      <alignment horizontal="center" vertical="center" textRotation="90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165" fontId="8" fillId="2" borderId="6" xfId="1" applyNumberFormat="1" applyFont="1" applyFill="1" applyBorder="1" applyAlignment="1">
      <alignment horizontal="center" vertical="center" wrapText="1" shrinkToFit="1"/>
    </xf>
    <xf numFmtId="165" fontId="8" fillId="2" borderId="5" xfId="1" applyNumberFormat="1" applyFont="1" applyFill="1" applyBorder="1" applyAlignment="1">
      <alignment horizontal="center" vertical="center" wrapText="1" shrinkToFit="1"/>
    </xf>
    <xf numFmtId="165" fontId="8" fillId="2" borderId="20" xfId="1" applyNumberFormat="1" applyFont="1" applyFill="1" applyBorder="1" applyAlignment="1">
      <alignment horizontal="center" vertical="center" wrapText="1" shrinkToFit="1"/>
    </xf>
    <xf numFmtId="165" fontId="8" fillId="2" borderId="6" xfId="1" applyNumberFormat="1" applyFont="1" applyFill="1" applyBorder="1" applyAlignment="1">
      <alignment horizontal="center" vertical="center" shrinkToFit="1"/>
    </xf>
    <xf numFmtId="165" fontId="8" fillId="2" borderId="5" xfId="1" applyNumberFormat="1" applyFont="1" applyFill="1" applyBorder="1" applyAlignment="1">
      <alignment horizontal="center" vertical="center" shrinkToFit="1"/>
    </xf>
    <xf numFmtId="165" fontId="8" fillId="2" borderId="20" xfId="1" applyNumberFormat="1" applyFont="1" applyFill="1" applyBorder="1" applyAlignment="1">
      <alignment horizontal="center" vertical="center" shrinkToFit="1"/>
    </xf>
    <xf numFmtId="165" fontId="8" fillId="2" borderId="1" xfId="1" applyNumberFormat="1" applyFont="1" applyFill="1" applyBorder="1" applyAlignment="1">
      <alignment horizontal="center" vertical="center" shrinkToFit="1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</cellXfs>
  <cellStyles count="41">
    <cellStyle name="Bình thường 6" xfId="5" xr:uid="{00000000-0005-0000-0000-000000000000}"/>
    <cellStyle name="Comma" xfId="40" builtinId="3"/>
    <cellStyle name="Comma 10" xfId="38" xr:uid="{00000000-0005-0000-0000-000001000000}"/>
    <cellStyle name="Comma 11" xfId="6" xr:uid="{00000000-0005-0000-0000-000002000000}"/>
    <cellStyle name="Comma 2" xfId="1" xr:uid="{00000000-0005-0000-0000-000003000000}"/>
    <cellStyle name="Comma 2 2" xfId="3" xr:uid="{00000000-0005-0000-0000-000004000000}"/>
    <cellStyle name="Comma 2 2 2" xfId="7" xr:uid="{00000000-0005-0000-0000-000005000000}"/>
    <cellStyle name="Comma 2 2 2 2" xfId="8" xr:uid="{00000000-0005-0000-0000-000006000000}"/>
    <cellStyle name="Comma 2 2 2 2 2" xfId="31" xr:uid="{00000000-0005-0000-0000-000007000000}"/>
    <cellStyle name="Comma 2 2 2 3" xfId="30" xr:uid="{00000000-0005-0000-0000-000008000000}"/>
    <cellStyle name="Comma 2_Thanh toan coi cham thi thang 6 nam 2011" xfId="9" xr:uid="{00000000-0005-0000-0000-000009000000}"/>
    <cellStyle name="Comma 3" xfId="10" xr:uid="{00000000-0005-0000-0000-00000A000000}"/>
    <cellStyle name="Comma 3 2" xfId="11" xr:uid="{00000000-0005-0000-0000-00000B000000}"/>
    <cellStyle name="Comma 3 2 2" xfId="32" xr:uid="{00000000-0005-0000-0000-00000C000000}"/>
    <cellStyle name="Comma 4" xfId="12" xr:uid="{00000000-0005-0000-0000-00000D000000}"/>
    <cellStyle name="Comma 4 2" xfId="33" xr:uid="{00000000-0005-0000-0000-00000E000000}"/>
    <cellStyle name="Comma 5" xfId="29" xr:uid="{00000000-0005-0000-0000-00000F000000}"/>
    <cellStyle name="Comma 6" xfId="36" xr:uid="{00000000-0005-0000-0000-000010000000}"/>
    <cellStyle name="Comma 7" xfId="13" xr:uid="{00000000-0005-0000-0000-000011000000}"/>
    <cellStyle name="Comma 7 2" xfId="14" xr:uid="{00000000-0005-0000-0000-000012000000}"/>
    <cellStyle name="Comma 7 2 2" xfId="34" xr:uid="{00000000-0005-0000-0000-000013000000}"/>
    <cellStyle name="Comma 8" xfId="28" xr:uid="{00000000-0005-0000-0000-000014000000}"/>
    <cellStyle name="Comma 8 2" xfId="37" xr:uid="{00000000-0005-0000-0000-000015000000}"/>
    <cellStyle name="Comma 9" xfId="15" xr:uid="{00000000-0005-0000-0000-000016000000}"/>
    <cellStyle name="Comma 9 2" xfId="16" xr:uid="{00000000-0005-0000-0000-000017000000}"/>
    <cellStyle name="Comma 9 2 2" xfId="35" xr:uid="{00000000-0005-0000-0000-000018000000}"/>
    <cellStyle name="Normal" xfId="0" builtinId="0"/>
    <cellStyle name="Normal 101" xfId="26" xr:uid="{00000000-0005-0000-0000-00001A000000}"/>
    <cellStyle name="Normal 110" xfId="23" xr:uid="{00000000-0005-0000-0000-00001B000000}"/>
    <cellStyle name="Normal 114" xfId="27" xr:uid="{00000000-0005-0000-0000-00001C000000}"/>
    <cellStyle name="Normal 126" xfId="25" xr:uid="{00000000-0005-0000-0000-00001D000000}"/>
    <cellStyle name="Normal 13 2" xfId="24" xr:uid="{00000000-0005-0000-0000-00001E000000}"/>
    <cellStyle name="Normal 2" xfId="17" xr:uid="{00000000-0005-0000-0000-00001F000000}"/>
    <cellStyle name="Normal 3" xfId="2" xr:uid="{00000000-0005-0000-0000-000020000000}"/>
    <cellStyle name="Normal 4" xfId="18" xr:uid="{00000000-0005-0000-0000-000021000000}"/>
    <cellStyle name="Normal 41" xfId="22" xr:uid="{00000000-0005-0000-0000-000022000000}"/>
    <cellStyle name="Normal 5" xfId="19" xr:uid="{00000000-0005-0000-0000-000023000000}"/>
    <cellStyle name="Normal 59" xfId="21" xr:uid="{00000000-0005-0000-0000-000024000000}"/>
    <cellStyle name="Normal 6" xfId="4" xr:uid="{00000000-0005-0000-0000-000025000000}"/>
    <cellStyle name="Normal_CT HSSV - PHCP KK (OK)" xfId="39" xr:uid="{00000000-0005-0000-0000-000026000000}"/>
    <cellStyle name="Percent 3" xfId="20" xr:uid="{00000000-0005-0000-0000-000027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430184</xdr:colOff>
      <xdr:row>2</xdr:row>
      <xdr:rowOff>15240</xdr:rowOff>
    </xdr:from>
    <xdr:to>
      <xdr:col>3</xdr:col>
      <xdr:colOff>784860</xdr:colOff>
      <xdr:row>2</xdr:row>
      <xdr:rowOff>18703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56E51DB6-0A9C-47F3-8F89-58972A11F77C}"/>
            </a:ext>
          </a:extLst>
        </xdr:cNvPr>
        <xdr:cNvCxnSpPr/>
      </xdr:nvCxnSpPr>
      <xdr:spPr>
        <a:xfrm flipV="1">
          <a:off x="719744" y="411480"/>
          <a:ext cx="2343496" cy="3463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2CCFF-8C2A-429C-89E6-8F0E65560C01}">
  <sheetPr>
    <pageSetUpPr fitToPage="1"/>
  </sheetPr>
  <dimension ref="A1:BW62"/>
  <sheetViews>
    <sheetView tabSelected="1" workbookViewId="0">
      <pane xSplit="2" ySplit="10" topLeftCell="C24" activePane="bottomRight" state="frozen"/>
      <selection pane="topRight" activeCell="C1" sqref="C1"/>
      <selection pane="bottomLeft" activeCell="A12" sqref="A12"/>
      <selection pane="bottomRight" activeCell="BT5" sqref="BT5"/>
    </sheetView>
  </sheetViews>
  <sheetFormatPr defaultColWidth="5.6640625" defaultRowHeight="15"/>
  <cols>
    <col min="1" max="1" width="4.33203125" style="30" customWidth="1"/>
    <col min="2" max="2" width="20" style="24" customWidth="1"/>
    <col min="3" max="3" width="9" style="24" customWidth="1"/>
    <col min="4" max="4" width="13.33203125" style="24" customWidth="1"/>
    <col min="5" max="5" width="10.33203125" style="24" customWidth="1"/>
    <col min="6" max="6" width="13.5546875" style="24" customWidth="1"/>
    <col min="7" max="7" width="13.44140625" style="24" customWidth="1"/>
    <col min="8" max="8" width="10.33203125" style="24" customWidth="1"/>
    <col min="9" max="9" width="7.44140625" style="31" customWidth="1"/>
    <col min="10" max="10" width="7.6640625" style="30" customWidth="1"/>
    <col min="11" max="11" width="7.33203125" style="30" customWidth="1"/>
    <col min="12" max="12" width="11.5546875" style="30" customWidth="1"/>
    <col min="13" max="13" width="9.88671875" style="30" hidden="1" customWidth="1"/>
    <col min="14" max="14" width="6" style="30" hidden="1" customWidth="1"/>
    <col min="15" max="15" width="7.44140625" style="30" hidden="1" customWidth="1"/>
    <col min="16" max="16" width="8.5546875" style="30" customWidth="1"/>
    <col min="17" max="18" width="16" style="30" hidden="1" customWidth="1"/>
    <col min="19" max="19" width="12.33203125" style="30" hidden="1" customWidth="1"/>
    <col min="20" max="20" width="7.109375" style="32" customWidth="1"/>
    <col min="21" max="21" width="10.5546875" style="32" hidden="1" customWidth="1"/>
    <col min="22" max="22" width="7.109375" style="32" customWidth="1"/>
    <col min="23" max="23" width="10.5546875" style="32" hidden="1" customWidth="1"/>
    <col min="24" max="24" width="7" style="32" customWidth="1"/>
    <col min="25" max="25" width="10.5546875" style="32" hidden="1" customWidth="1"/>
    <col min="26" max="26" width="5.33203125" style="32" customWidth="1"/>
    <col min="27" max="27" width="12.6640625" style="32" hidden="1" customWidth="1"/>
    <col min="28" max="28" width="5.88671875" style="32" customWidth="1"/>
    <col min="29" max="29" width="5.44140625" style="32" customWidth="1"/>
    <col min="30" max="30" width="11.6640625" style="24" customWidth="1"/>
    <col min="31" max="31" width="12.6640625" style="24" customWidth="1"/>
    <col min="32" max="32" width="11.109375" style="24" customWidth="1"/>
    <col min="33" max="33" width="16" style="24" hidden="1" customWidth="1"/>
    <col min="34" max="34" width="0.33203125" style="24" hidden="1" customWidth="1"/>
    <col min="35" max="35" width="10.5546875" style="24" customWidth="1"/>
    <col min="36" max="36" width="15.6640625" style="24" hidden="1" customWidth="1"/>
    <col min="37" max="37" width="11.88671875" style="24" customWidth="1"/>
    <col min="38" max="38" width="13" style="24" customWidth="1"/>
    <col min="39" max="39" width="9" style="24" customWidth="1"/>
    <col min="40" max="40" width="11.109375" style="24" customWidth="1"/>
    <col min="41" max="41" width="16" style="24" hidden="1" customWidth="1"/>
    <col min="42" max="42" width="11.44140625" style="24" hidden="1" customWidth="1"/>
    <col min="43" max="43" width="10.5546875" style="33" customWidth="1"/>
    <col min="44" max="44" width="16" style="24" hidden="1" customWidth="1"/>
    <col min="45" max="45" width="12" style="24" customWidth="1"/>
    <col min="46" max="46" width="10.33203125" style="24" hidden="1" customWidth="1"/>
    <col min="47" max="48" width="16" style="24" hidden="1" customWidth="1"/>
    <col min="49" max="49" width="13.33203125" style="30" customWidth="1"/>
    <col min="50" max="50" width="10.88671875" style="2" customWidth="1"/>
    <col min="51" max="51" width="10.5546875" style="2" customWidth="1"/>
    <col min="52" max="52" width="10" style="2" customWidth="1"/>
    <col min="53" max="53" width="10.33203125" style="2" customWidth="1"/>
    <col min="54" max="54" width="10" style="2" hidden="1" customWidth="1"/>
    <col min="55" max="55" width="12.33203125" style="2" hidden="1" customWidth="1"/>
    <col min="56" max="56" width="15" style="2" hidden="1" customWidth="1"/>
    <col min="57" max="57" width="10.88671875" style="2" hidden="1" customWidth="1"/>
    <col min="58" max="58" width="17.6640625" style="2" hidden="1" customWidth="1"/>
    <col min="59" max="59" width="11.6640625" style="2" hidden="1" customWidth="1"/>
    <col min="60" max="60" width="16.6640625" style="2" hidden="1" customWidth="1"/>
    <col min="61" max="61" width="10.88671875" style="2" hidden="1" customWidth="1"/>
    <col min="62" max="62" width="9.88671875" style="2" customWidth="1"/>
    <col min="63" max="63" width="14.33203125" style="2" hidden="1" customWidth="1"/>
    <col min="64" max="64" width="12.33203125" style="2" hidden="1" customWidth="1"/>
    <col min="65" max="65" width="11.88671875" style="2" hidden="1" customWidth="1"/>
    <col min="66" max="66" width="10.88671875" style="2" customWidth="1"/>
    <col min="67" max="67" width="8.109375" style="2" customWidth="1"/>
    <col min="68" max="68" width="10.88671875" style="2" hidden="1" customWidth="1"/>
    <col min="69" max="69" width="12.88671875" style="2" customWidth="1"/>
    <col min="70" max="70" width="10.44140625" style="2" customWidth="1"/>
    <col min="71" max="71" width="6.44140625" style="2" customWidth="1"/>
    <col min="72" max="72" width="13.6640625" style="2" customWidth="1"/>
    <col min="73" max="73" width="18.6640625" style="2" customWidth="1"/>
    <col min="74" max="16384" width="5.6640625" style="24"/>
  </cols>
  <sheetData>
    <row r="1" spans="1:73" ht="15.6">
      <c r="A1" s="3" t="s">
        <v>68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10"/>
      <c r="R1" s="10"/>
      <c r="S1" s="10"/>
      <c r="T1" s="20"/>
      <c r="U1" s="20"/>
      <c r="V1" s="20"/>
      <c r="W1" s="20"/>
      <c r="X1" s="20"/>
      <c r="Y1" s="20"/>
      <c r="Z1" s="20"/>
      <c r="AA1" s="20"/>
      <c r="AB1" s="20"/>
      <c r="AC1" s="20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8"/>
      <c r="AR1" s="1"/>
      <c r="AS1" s="1"/>
      <c r="AT1" s="1"/>
      <c r="AU1" s="1"/>
      <c r="AV1" s="3"/>
      <c r="AW1" s="1"/>
      <c r="BT1" s="10" t="s">
        <v>67</v>
      </c>
    </row>
    <row r="2" spans="1:73" ht="15.6">
      <c r="A2" s="9" t="s">
        <v>64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10"/>
      <c r="R2" s="10"/>
      <c r="S2" s="10"/>
      <c r="T2" s="21"/>
      <c r="U2" s="21"/>
      <c r="V2" s="21"/>
      <c r="W2" s="21"/>
      <c r="X2" s="21"/>
      <c r="Y2" s="21"/>
      <c r="Z2" s="21"/>
      <c r="AA2" s="21"/>
      <c r="AB2" s="21"/>
      <c r="AC2" s="21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3"/>
      <c r="AR2" s="10"/>
      <c r="AS2" s="10"/>
      <c r="AT2" s="10"/>
      <c r="AU2" s="10"/>
      <c r="AV2" s="3"/>
      <c r="AW2" s="1"/>
    </row>
    <row r="3" spans="1:73" s="48" customFormat="1" ht="60.75" customHeight="1">
      <c r="A3" s="133" t="s">
        <v>106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39"/>
      <c r="AY3" s="39"/>
      <c r="AZ3" s="39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50"/>
      <c r="BT3" s="50"/>
      <c r="BU3" s="50"/>
    </row>
    <row r="4" spans="1:73" ht="17.850000000000001" customHeight="1">
      <c r="A4" s="134" t="s">
        <v>65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T4" s="10"/>
    </row>
    <row r="5" spans="1:73" ht="17.850000000000001" customHeight="1">
      <c r="A5" s="1">
        <v>22</v>
      </c>
      <c r="B5" s="64">
        <v>1</v>
      </c>
      <c r="C5" s="4">
        <v>1</v>
      </c>
      <c r="D5" s="5"/>
      <c r="E5" s="5"/>
      <c r="F5" s="5"/>
      <c r="G5" s="5"/>
      <c r="H5" s="5"/>
      <c r="I5" s="5"/>
      <c r="J5" s="1"/>
      <c r="K5" s="1"/>
      <c r="L5" s="1"/>
      <c r="M5" s="1"/>
      <c r="N5" s="1"/>
      <c r="O5" s="1"/>
      <c r="P5" s="1"/>
      <c r="Q5" s="1"/>
      <c r="R5" s="1"/>
      <c r="S5" s="1"/>
      <c r="T5" s="6"/>
      <c r="U5" s="6"/>
      <c r="V5" s="6"/>
      <c r="W5" s="6"/>
      <c r="X5" s="6"/>
      <c r="Y5" s="6"/>
      <c r="Z5" s="6"/>
      <c r="AA5" s="6"/>
      <c r="AB5" s="6"/>
      <c r="AC5" s="6"/>
      <c r="AD5" s="7"/>
      <c r="AE5" s="7"/>
      <c r="AF5" s="7"/>
      <c r="AG5" s="7">
        <v>0.6</v>
      </c>
      <c r="AH5" s="7"/>
      <c r="AI5" s="7"/>
      <c r="AJ5" s="7"/>
      <c r="AK5" s="7"/>
      <c r="AL5" s="7"/>
      <c r="AM5" s="3"/>
      <c r="AN5" s="3"/>
      <c r="AO5" s="3"/>
      <c r="AP5" s="3"/>
      <c r="AQ5" s="8"/>
      <c r="AR5" s="3"/>
      <c r="AS5" s="3"/>
      <c r="AT5" s="3"/>
      <c r="AU5" s="3"/>
      <c r="AV5" s="3"/>
      <c r="AW5" s="1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19">
        <v>33000</v>
      </c>
      <c r="BU5" s="3"/>
    </row>
    <row r="6" spans="1:73" ht="19.350000000000001" customHeight="1">
      <c r="A6" s="135" t="s">
        <v>0</v>
      </c>
      <c r="B6" s="135" t="s">
        <v>1</v>
      </c>
      <c r="C6" s="135" t="s">
        <v>2</v>
      </c>
      <c r="D6" s="135" t="s">
        <v>3</v>
      </c>
      <c r="E6" s="135" t="s">
        <v>4</v>
      </c>
      <c r="F6" s="135" t="s">
        <v>69</v>
      </c>
      <c r="G6" s="138" t="s">
        <v>107</v>
      </c>
      <c r="H6" s="139"/>
      <c r="I6" s="135" t="s">
        <v>5</v>
      </c>
      <c r="J6" s="138" t="s">
        <v>6</v>
      </c>
      <c r="K6" s="146"/>
      <c r="L6" s="146"/>
      <c r="M6" s="146"/>
      <c r="N6" s="146"/>
      <c r="O6" s="146"/>
      <c r="P6" s="146"/>
      <c r="Q6" s="139"/>
      <c r="R6" s="148" t="s">
        <v>7</v>
      </c>
      <c r="S6" s="149"/>
      <c r="T6" s="156" t="s">
        <v>108</v>
      </c>
      <c r="U6" s="157"/>
      <c r="V6" s="157"/>
      <c r="W6" s="157"/>
      <c r="X6" s="157"/>
      <c r="Y6" s="157"/>
      <c r="Z6" s="157"/>
      <c r="AA6" s="157"/>
      <c r="AB6" s="157"/>
      <c r="AC6" s="157"/>
      <c r="AD6" s="158" t="s">
        <v>94</v>
      </c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60"/>
      <c r="AW6" s="161" t="s">
        <v>66</v>
      </c>
      <c r="AX6" s="184" t="s">
        <v>26</v>
      </c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1" t="s">
        <v>93</v>
      </c>
      <c r="BP6" s="181" t="s">
        <v>27</v>
      </c>
      <c r="BQ6" s="178" t="s">
        <v>28</v>
      </c>
      <c r="BR6" s="181" t="s">
        <v>47</v>
      </c>
      <c r="BS6" s="178" t="s">
        <v>29</v>
      </c>
      <c r="BT6" s="181" t="s">
        <v>30</v>
      </c>
      <c r="BU6" s="178" t="s">
        <v>31</v>
      </c>
    </row>
    <row r="7" spans="1:73" ht="22.35" customHeight="1">
      <c r="A7" s="136"/>
      <c r="B7" s="136"/>
      <c r="C7" s="136"/>
      <c r="D7" s="136"/>
      <c r="E7" s="136"/>
      <c r="F7" s="136"/>
      <c r="G7" s="140"/>
      <c r="H7" s="141"/>
      <c r="I7" s="136"/>
      <c r="J7" s="140"/>
      <c r="K7" s="147"/>
      <c r="L7" s="147"/>
      <c r="M7" s="147"/>
      <c r="N7" s="147"/>
      <c r="O7" s="147"/>
      <c r="P7" s="147"/>
      <c r="Q7" s="141"/>
      <c r="R7" s="150"/>
      <c r="S7" s="151"/>
      <c r="T7" s="144" t="s">
        <v>109</v>
      </c>
      <c r="U7" s="164"/>
      <c r="V7" s="164"/>
      <c r="W7" s="145"/>
      <c r="X7" s="144" t="s">
        <v>114</v>
      </c>
      <c r="Y7" s="164"/>
      <c r="Z7" s="164"/>
      <c r="AA7" s="164"/>
      <c r="AB7" s="164"/>
      <c r="AC7" s="145"/>
      <c r="AD7" s="165" t="s">
        <v>70</v>
      </c>
      <c r="AE7" s="166"/>
      <c r="AF7" s="166"/>
      <c r="AG7" s="166"/>
      <c r="AH7" s="166"/>
      <c r="AI7" s="166"/>
      <c r="AJ7" s="166"/>
      <c r="AK7" s="166"/>
      <c r="AL7" s="166"/>
      <c r="AM7" s="166"/>
      <c r="AN7" s="167"/>
      <c r="AO7" s="36"/>
      <c r="AP7" s="168" t="s">
        <v>89</v>
      </c>
      <c r="AQ7" s="185" t="s">
        <v>80</v>
      </c>
      <c r="AR7" s="186"/>
      <c r="AS7" s="186"/>
      <c r="AT7" s="186"/>
      <c r="AU7" s="186"/>
      <c r="AV7" s="187"/>
      <c r="AW7" s="162"/>
      <c r="AX7" s="175" t="s">
        <v>92</v>
      </c>
      <c r="AY7" s="175" t="s">
        <v>32</v>
      </c>
      <c r="AZ7" s="175" t="s">
        <v>33</v>
      </c>
      <c r="BA7" s="175" t="s">
        <v>34</v>
      </c>
      <c r="BB7" s="175" t="s">
        <v>62</v>
      </c>
      <c r="BC7" s="175" t="s">
        <v>63</v>
      </c>
      <c r="BD7" s="175" t="s">
        <v>59</v>
      </c>
      <c r="BE7" s="175" t="s">
        <v>35</v>
      </c>
      <c r="BF7" s="175" t="s">
        <v>57</v>
      </c>
      <c r="BG7" s="175" t="s">
        <v>36</v>
      </c>
      <c r="BH7" s="175" t="s">
        <v>37</v>
      </c>
      <c r="BI7" s="175" t="s">
        <v>85</v>
      </c>
      <c r="BJ7" s="175" t="s">
        <v>38</v>
      </c>
      <c r="BK7" s="175" t="s">
        <v>39</v>
      </c>
      <c r="BL7" s="175" t="s">
        <v>104</v>
      </c>
      <c r="BM7" s="175" t="s">
        <v>105</v>
      </c>
      <c r="BN7" s="175" t="s">
        <v>40</v>
      </c>
      <c r="BO7" s="182"/>
      <c r="BP7" s="182"/>
      <c r="BQ7" s="179"/>
      <c r="BR7" s="182"/>
      <c r="BS7" s="179"/>
      <c r="BT7" s="182"/>
      <c r="BU7" s="179"/>
    </row>
    <row r="8" spans="1:73" ht="40.950000000000003" customHeight="1">
      <c r="A8" s="136"/>
      <c r="B8" s="136"/>
      <c r="C8" s="136"/>
      <c r="D8" s="136"/>
      <c r="E8" s="136"/>
      <c r="F8" s="136"/>
      <c r="G8" s="135" t="s">
        <v>15</v>
      </c>
      <c r="H8" s="135" t="s">
        <v>16</v>
      </c>
      <c r="I8" s="136"/>
      <c r="J8" s="135" t="s">
        <v>11</v>
      </c>
      <c r="K8" s="135" t="s">
        <v>71</v>
      </c>
      <c r="L8" s="152" t="s">
        <v>90</v>
      </c>
      <c r="M8" s="142" t="s">
        <v>86</v>
      </c>
      <c r="N8" s="135" t="s">
        <v>72</v>
      </c>
      <c r="O8" s="142" t="s">
        <v>81</v>
      </c>
      <c r="P8" s="154" t="s">
        <v>82</v>
      </c>
      <c r="Q8" s="155"/>
      <c r="R8" s="135" t="s">
        <v>14</v>
      </c>
      <c r="S8" s="142" t="s">
        <v>79</v>
      </c>
      <c r="T8" s="144" t="s">
        <v>45</v>
      </c>
      <c r="U8" s="145"/>
      <c r="V8" s="144" t="s">
        <v>46</v>
      </c>
      <c r="W8" s="145"/>
      <c r="X8" s="144" t="s">
        <v>60</v>
      </c>
      <c r="Y8" s="145"/>
      <c r="Z8" s="144" t="s">
        <v>45</v>
      </c>
      <c r="AA8" s="145"/>
      <c r="AB8" s="144" t="s">
        <v>46</v>
      </c>
      <c r="AC8" s="145"/>
      <c r="AD8" s="135" t="s">
        <v>8</v>
      </c>
      <c r="AE8" s="171" t="s">
        <v>48</v>
      </c>
      <c r="AF8" s="161" t="s">
        <v>9</v>
      </c>
      <c r="AG8" s="161" t="s">
        <v>87</v>
      </c>
      <c r="AH8" s="161" t="s">
        <v>88</v>
      </c>
      <c r="AI8" s="173" t="s">
        <v>73</v>
      </c>
      <c r="AJ8" s="161" t="s">
        <v>74</v>
      </c>
      <c r="AK8" s="188" t="s">
        <v>61</v>
      </c>
      <c r="AL8" s="144" t="s">
        <v>110</v>
      </c>
      <c r="AM8" s="145"/>
      <c r="AN8" s="158" t="s">
        <v>111</v>
      </c>
      <c r="AO8" s="160"/>
      <c r="AP8" s="168"/>
      <c r="AQ8" s="169" t="s">
        <v>75</v>
      </c>
      <c r="AR8" s="169" t="s">
        <v>76</v>
      </c>
      <c r="AS8" s="169" t="s">
        <v>112</v>
      </c>
      <c r="AT8" s="169" t="s">
        <v>113</v>
      </c>
      <c r="AU8" s="169" t="s">
        <v>77</v>
      </c>
      <c r="AV8" s="169" t="s">
        <v>78</v>
      </c>
      <c r="AW8" s="162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82"/>
      <c r="BP8" s="182"/>
      <c r="BQ8" s="179"/>
      <c r="BR8" s="182"/>
      <c r="BS8" s="179"/>
      <c r="BT8" s="182"/>
      <c r="BU8" s="179"/>
    </row>
    <row r="9" spans="1:73" ht="40.950000000000003" customHeight="1">
      <c r="A9" s="137"/>
      <c r="B9" s="137" t="s">
        <v>10</v>
      </c>
      <c r="C9" s="137" t="s">
        <v>10</v>
      </c>
      <c r="D9" s="137"/>
      <c r="E9" s="137"/>
      <c r="F9" s="137"/>
      <c r="G9" s="137"/>
      <c r="H9" s="137"/>
      <c r="I9" s="137"/>
      <c r="J9" s="137"/>
      <c r="K9" s="137"/>
      <c r="L9" s="153"/>
      <c r="M9" s="143"/>
      <c r="N9" s="137"/>
      <c r="O9" s="143"/>
      <c r="P9" s="49" t="s">
        <v>114</v>
      </c>
      <c r="Q9" s="47" t="s">
        <v>91</v>
      </c>
      <c r="R9" s="137"/>
      <c r="S9" s="143"/>
      <c r="T9" s="37" t="s">
        <v>12</v>
      </c>
      <c r="U9" s="37" t="s">
        <v>13</v>
      </c>
      <c r="V9" s="37" t="s">
        <v>12</v>
      </c>
      <c r="W9" s="37" t="s">
        <v>13</v>
      </c>
      <c r="X9" s="37" t="s">
        <v>12</v>
      </c>
      <c r="Y9" s="37" t="s">
        <v>13</v>
      </c>
      <c r="Z9" s="37" t="s">
        <v>12</v>
      </c>
      <c r="AA9" s="37" t="s">
        <v>13</v>
      </c>
      <c r="AB9" s="37" t="s">
        <v>12</v>
      </c>
      <c r="AC9" s="37" t="s">
        <v>13</v>
      </c>
      <c r="AD9" s="137"/>
      <c r="AE9" s="172"/>
      <c r="AF9" s="163"/>
      <c r="AG9" s="163"/>
      <c r="AH9" s="163"/>
      <c r="AI9" s="174"/>
      <c r="AJ9" s="163"/>
      <c r="AK9" s="189"/>
      <c r="AL9" s="38" t="s">
        <v>12</v>
      </c>
      <c r="AM9" s="38" t="s">
        <v>13</v>
      </c>
      <c r="AN9" s="38" t="s">
        <v>12</v>
      </c>
      <c r="AO9" s="38" t="s">
        <v>13</v>
      </c>
      <c r="AP9" s="168"/>
      <c r="AQ9" s="170"/>
      <c r="AR9" s="170"/>
      <c r="AS9" s="170"/>
      <c r="AT9" s="170"/>
      <c r="AU9" s="170"/>
      <c r="AV9" s="170"/>
      <c r="AW9" s="163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83"/>
      <c r="BP9" s="183"/>
      <c r="BQ9" s="180"/>
      <c r="BR9" s="183"/>
      <c r="BS9" s="180"/>
      <c r="BT9" s="183"/>
      <c r="BU9" s="180"/>
    </row>
    <row r="10" spans="1:73" s="67" customFormat="1" ht="18" customHeight="1">
      <c r="A10" s="54" t="s">
        <v>95</v>
      </c>
      <c r="B10" s="65" t="s">
        <v>96</v>
      </c>
      <c r="C10" s="65" t="s">
        <v>97</v>
      </c>
      <c r="D10" s="68">
        <v>-1</v>
      </c>
      <c r="E10" s="69">
        <v>-2</v>
      </c>
      <c r="F10" s="70" t="s">
        <v>101</v>
      </c>
      <c r="G10" s="71">
        <v>-4</v>
      </c>
      <c r="H10" s="68">
        <v>-5</v>
      </c>
      <c r="I10" s="68">
        <v>-6</v>
      </c>
      <c r="J10" s="68">
        <v>-7</v>
      </c>
      <c r="K10" s="68">
        <v>-8</v>
      </c>
      <c r="L10" s="68">
        <v>-9</v>
      </c>
      <c r="M10" s="68">
        <v>-7</v>
      </c>
      <c r="N10" s="68">
        <v>-9</v>
      </c>
      <c r="O10" s="68"/>
      <c r="P10" s="68">
        <v>-10</v>
      </c>
      <c r="Q10" s="68"/>
      <c r="R10" s="68"/>
      <c r="S10" s="68"/>
      <c r="T10" s="68">
        <v>-11</v>
      </c>
      <c r="U10" s="72"/>
      <c r="V10" s="68">
        <v>-12</v>
      </c>
      <c r="W10" s="72"/>
      <c r="X10" s="68">
        <v>-13</v>
      </c>
      <c r="Y10" s="72"/>
      <c r="Z10" s="68">
        <v>-14</v>
      </c>
      <c r="AA10" s="72"/>
      <c r="AB10" s="68">
        <v>-15</v>
      </c>
      <c r="AC10" s="68">
        <v>-16</v>
      </c>
      <c r="AD10" s="73">
        <v>-17</v>
      </c>
      <c r="AE10" s="68">
        <v>-18</v>
      </c>
      <c r="AF10" s="68">
        <v>-19</v>
      </c>
      <c r="AG10" s="68">
        <v>-10</v>
      </c>
      <c r="AH10" s="68">
        <v>-10</v>
      </c>
      <c r="AI10" s="68">
        <v>-19</v>
      </c>
      <c r="AJ10" s="68">
        <v>-20</v>
      </c>
      <c r="AK10" s="68">
        <v>-21</v>
      </c>
      <c r="AL10" s="68">
        <v>-22</v>
      </c>
      <c r="AM10" s="68">
        <v>-23</v>
      </c>
      <c r="AN10" s="68">
        <v>-24</v>
      </c>
      <c r="AO10" s="68">
        <v>-10</v>
      </c>
      <c r="AP10" s="68"/>
      <c r="AQ10" s="68">
        <v>-25</v>
      </c>
      <c r="AR10" s="68">
        <v>-10</v>
      </c>
      <c r="AS10" s="68">
        <v>-26</v>
      </c>
      <c r="AT10" s="68">
        <v>-27</v>
      </c>
      <c r="AU10" s="68">
        <v>-10</v>
      </c>
      <c r="AV10" s="68">
        <v>-10</v>
      </c>
      <c r="AW10" s="66" t="s">
        <v>115</v>
      </c>
      <c r="AX10" s="74">
        <v>-21</v>
      </c>
      <c r="AY10" s="74">
        <v>-22</v>
      </c>
      <c r="AZ10" s="74">
        <v>-23</v>
      </c>
      <c r="BA10" s="74">
        <v>-24</v>
      </c>
      <c r="BB10" s="74"/>
      <c r="BC10" s="74"/>
      <c r="BD10" s="74"/>
      <c r="BE10" s="74"/>
      <c r="BF10" s="74"/>
      <c r="BG10" s="74"/>
      <c r="BH10" s="74"/>
      <c r="BI10" s="74"/>
      <c r="BJ10" s="74">
        <v>-25</v>
      </c>
      <c r="BK10" s="74"/>
      <c r="BL10" s="74">
        <v>-26</v>
      </c>
      <c r="BM10" s="75"/>
      <c r="BN10" s="75" t="s">
        <v>98</v>
      </c>
      <c r="BO10" s="76">
        <v>28</v>
      </c>
      <c r="BP10" s="75"/>
      <c r="BQ10" s="75" t="s">
        <v>99</v>
      </c>
      <c r="BR10" s="75">
        <v>30</v>
      </c>
      <c r="BS10" s="75">
        <v>31</v>
      </c>
      <c r="BT10" s="75">
        <v>32</v>
      </c>
      <c r="BU10" s="75" t="s">
        <v>100</v>
      </c>
    </row>
    <row r="11" spans="1:73" s="25" customFormat="1" ht="48" customHeight="1">
      <c r="A11" s="55">
        <v>1</v>
      </c>
      <c r="B11" s="56" t="s">
        <v>17</v>
      </c>
      <c r="C11" s="41" t="s">
        <v>43</v>
      </c>
      <c r="D11" s="77">
        <v>17580000</v>
      </c>
      <c r="E11" s="78"/>
      <c r="F11" s="13">
        <v>6500000</v>
      </c>
      <c r="G11" s="14">
        <v>9930000</v>
      </c>
      <c r="H11" s="14"/>
      <c r="I11" s="79" t="s">
        <v>18</v>
      </c>
      <c r="J11" s="80">
        <v>21</v>
      </c>
      <c r="K11" s="80">
        <v>1</v>
      </c>
      <c r="L11" s="80">
        <v>0</v>
      </c>
      <c r="M11" s="80">
        <v>0</v>
      </c>
      <c r="N11" s="80"/>
      <c r="O11" s="80">
        <v>0</v>
      </c>
      <c r="P11" s="81">
        <v>0</v>
      </c>
      <c r="Q11" s="81"/>
      <c r="R11" s="81"/>
      <c r="S11" s="81">
        <v>0</v>
      </c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79">
        <f>ROUND(F11*(J11+K11+M11)/$A$5,-3)</f>
        <v>6500000</v>
      </c>
      <c r="AE11" s="83">
        <f>ROUND(IF(I11="A",(D11-F11)*(J11+K11+M11)/$A$5,IF(I11="B",(D11-F11)*0.5*(J11+K11+M11)/$A$5,IF(I11="C",0))),-3)</f>
        <v>11080000</v>
      </c>
      <c r="AF11" s="84"/>
      <c r="AG11" s="84"/>
      <c r="AH11" s="84"/>
      <c r="AI11" s="84">
        <f>ROUND(G11*(L11)/$A$5,-3)</f>
        <v>0</v>
      </c>
      <c r="AJ11" s="84">
        <f>ROUND(G11*N11/$A$5*85%,-3)</f>
        <v>0</v>
      </c>
      <c r="AK11" s="78">
        <f t="shared" ref="AK11:AK16" si="0">ROUND(P11*316000,-3)</f>
        <v>0</v>
      </c>
      <c r="AL11" s="85">
        <f t="shared" ref="AL11:AL22" si="1">ROUND((X11*43000+Z11*43000+AB11*43000),-3)</f>
        <v>0</v>
      </c>
      <c r="AM11" s="85">
        <f t="shared" ref="AM11:AM22" si="2">ROUND((AC11*54000+AA11*54000+Y11*57000),-3)</f>
        <v>0</v>
      </c>
      <c r="AN11" s="85">
        <f t="shared" ref="AN11:AN22" si="3">ROUND((T11*43000+V11*43000),-3)</f>
        <v>0</v>
      </c>
      <c r="AO11" s="86">
        <f t="shared" ref="AO11:AO26" si="4">ROUND((U11*48600+W11*52000),-3)</f>
        <v>0</v>
      </c>
      <c r="AP11" s="86"/>
      <c r="AQ11" s="87"/>
      <c r="AR11" s="78"/>
      <c r="AS11" s="78">
        <v>1009000</v>
      </c>
      <c r="AT11" s="78"/>
      <c r="AU11" s="78"/>
      <c r="AV11" s="78"/>
      <c r="AW11" s="88">
        <f>ROUND(SUM(AD11:AU11)-AV11,-3)</f>
        <v>18589000</v>
      </c>
      <c r="AX11" s="46">
        <f>ROUND(IF((AW11-AY11-AZ11-BA11)*0.5%&lt;234000,(AW11-AY11-AZ11-BA11)*0.5%,234000),-3)</f>
        <v>88000</v>
      </c>
      <c r="AY11" s="51">
        <v>722400</v>
      </c>
      <c r="AZ11" s="51">
        <v>135450</v>
      </c>
      <c r="BA11" s="51">
        <v>90300</v>
      </c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>
        <f>SUM(AX11:BM11)</f>
        <v>1036150</v>
      </c>
      <c r="BO11" s="51"/>
      <c r="BP11" s="51"/>
      <c r="BQ11" s="52">
        <f>(AW11-BN11+BO11+BP11)</f>
        <v>17552850</v>
      </c>
      <c r="BR11" s="51">
        <v>100000</v>
      </c>
      <c r="BS11" s="51">
        <v>21</v>
      </c>
      <c r="BT11" s="51">
        <f>BS11*$BT$5</f>
        <v>693000</v>
      </c>
      <c r="BU11" s="52">
        <f>BQ11+BT11+BR11</f>
        <v>18345850</v>
      </c>
    </row>
    <row r="12" spans="1:73" s="26" customFormat="1" ht="48" customHeight="1">
      <c r="A12" s="17">
        <v>2</v>
      </c>
      <c r="B12" s="42" t="s">
        <v>20</v>
      </c>
      <c r="C12" s="53" t="s">
        <v>83</v>
      </c>
      <c r="D12" s="89">
        <v>15440000</v>
      </c>
      <c r="E12" s="16">
        <v>525000</v>
      </c>
      <c r="F12" s="15">
        <v>6500000</v>
      </c>
      <c r="G12" s="16">
        <v>7510000</v>
      </c>
      <c r="H12" s="16">
        <v>525000</v>
      </c>
      <c r="I12" s="90" t="s">
        <v>18</v>
      </c>
      <c r="J12" s="91">
        <v>21</v>
      </c>
      <c r="K12" s="91">
        <v>1</v>
      </c>
      <c r="L12" s="92">
        <v>0</v>
      </c>
      <c r="M12" s="91">
        <v>0</v>
      </c>
      <c r="N12" s="91"/>
      <c r="O12" s="91">
        <v>0</v>
      </c>
      <c r="P12" s="93">
        <v>0</v>
      </c>
      <c r="Q12" s="93"/>
      <c r="R12" s="93"/>
      <c r="S12" s="93">
        <v>0</v>
      </c>
      <c r="T12" s="94">
        <v>100</v>
      </c>
      <c r="U12" s="94">
        <v>0</v>
      </c>
      <c r="V12" s="94">
        <v>0</v>
      </c>
      <c r="W12" s="94"/>
      <c r="X12" s="94">
        <v>0</v>
      </c>
      <c r="Y12" s="94">
        <v>0</v>
      </c>
      <c r="Z12" s="94">
        <v>25.566666666666663</v>
      </c>
      <c r="AA12" s="94">
        <v>0</v>
      </c>
      <c r="AB12" s="94">
        <v>21.5</v>
      </c>
      <c r="AC12" s="94">
        <v>0</v>
      </c>
      <c r="AD12" s="90">
        <f>ROUND(F12*(J12)/$A$5*$B$5,-3)</f>
        <v>6205000</v>
      </c>
      <c r="AE12" s="95">
        <f>ROUND(IF(I12="A",(D12-F12-4500000)*(J12)/$A$5*$B$5,IF(I12="B",(D12-F12-4500000)*0.5*(J12)/$A$5*$B$5,IF(I12="C",0))),-3)</f>
        <v>4238000</v>
      </c>
      <c r="AF12" s="96">
        <f>ROUND(G12*(K12)/$A$5,-3)</f>
        <v>341000</v>
      </c>
      <c r="AG12" s="96"/>
      <c r="AH12" s="96">
        <f t="shared" ref="AH12:AH25" si="5">ROUND((D12)*M12/$A$5,-3)</f>
        <v>0</v>
      </c>
      <c r="AI12" s="96">
        <f>ROUND(G12*(L12)/$A$5,-3)</f>
        <v>0</v>
      </c>
      <c r="AJ12" s="96">
        <f>ROUND(G12*N12/$A$5*85%,-3)</f>
        <v>0</v>
      </c>
      <c r="AK12" s="97">
        <f t="shared" si="0"/>
        <v>0</v>
      </c>
      <c r="AL12" s="85">
        <f t="shared" si="1"/>
        <v>2024000</v>
      </c>
      <c r="AM12" s="85">
        <f t="shared" si="2"/>
        <v>0</v>
      </c>
      <c r="AN12" s="85">
        <f t="shared" si="3"/>
        <v>4300000</v>
      </c>
      <c r="AO12" s="85">
        <f t="shared" si="4"/>
        <v>0</v>
      </c>
      <c r="AP12" s="98">
        <f>ROUND((IF(I12="A",0,IF(I12="B",-(1330000)*50%,IF(I12="C",-(1330000)*100%))))*(J12)/$A$5,-3)</f>
        <v>0</v>
      </c>
      <c r="AQ12" s="96">
        <v>525000</v>
      </c>
      <c r="AR12" s="96"/>
      <c r="AS12" s="97"/>
      <c r="AT12" s="97"/>
      <c r="AU12" s="97"/>
      <c r="AV12" s="97"/>
      <c r="AW12" s="99">
        <f>ROUND(SUM(AD12:AU12)-AV12,-3)</f>
        <v>17633000</v>
      </c>
      <c r="AX12" s="46">
        <f t="shared" ref="AX12:AX26" si="6">ROUND(IF((AW12-AY12-AZ12-BA12)*0.5%&lt;234000,(AW12-AY12-AZ12-BA12)*0.5%,234000),-3)</f>
        <v>84000</v>
      </c>
      <c r="AY12" s="51">
        <v>588400</v>
      </c>
      <c r="AZ12" s="51">
        <v>110325</v>
      </c>
      <c r="BA12" s="51">
        <v>73550</v>
      </c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2">
        <f>SUM(AX12:BM12)</f>
        <v>856275</v>
      </c>
      <c r="BO12" s="51"/>
      <c r="BP12" s="51"/>
      <c r="BQ12" s="52">
        <f t="shared" ref="BQ12:BQ26" si="7">(AW12-BN12+BO12+BP12)</f>
        <v>16776725</v>
      </c>
      <c r="BR12" s="51">
        <v>100000</v>
      </c>
      <c r="BS12" s="51">
        <v>21</v>
      </c>
      <c r="BT12" s="51">
        <f t="shared" ref="BT12:BT26" si="8">BS12*$BT$5</f>
        <v>693000</v>
      </c>
      <c r="BU12" s="52">
        <f t="shared" ref="BU12:BU26" si="9">BQ12+BT12+BR12</f>
        <v>17569725</v>
      </c>
    </row>
    <row r="13" spans="1:73" s="26" customFormat="1" ht="48" customHeight="1">
      <c r="A13" s="17">
        <v>3</v>
      </c>
      <c r="B13" s="42" t="s">
        <v>22</v>
      </c>
      <c r="C13" s="44" t="s">
        <v>21</v>
      </c>
      <c r="D13" s="89">
        <v>15440000</v>
      </c>
      <c r="E13" s="16"/>
      <c r="F13" s="15">
        <v>6500000</v>
      </c>
      <c r="G13" s="16">
        <v>7510000</v>
      </c>
      <c r="H13" s="16"/>
      <c r="I13" s="90" t="s">
        <v>18</v>
      </c>
      <c r="J13" s="91">
        <v>21</v>
      </c>
      <c r="K13" s="91">
        <v>1</v>
      </c>
      <c r="L13" s="91">
        <v>0</v>
      </c>
      <c r="M13" s="91">
        <v>0</v>
      </c>
      <c r="N13" s="91"/>
      <c r="O13" s="91">
        <v>0</v>
      </c>
      <c r="P13" s="100">
        <v>29</v>
      </c>
      <c r="Q13" s="93"/>
      <c r="R13" s="93"/>
      <c r="S13" s="93">
        <v>0</v>
      </c>
      <c r="T13" s="96">
        <v>100</v>
      </c>
      <c r="U13" s="96">
        <v>0</v>
      </c>
      <c r="V13" s="96">
        <v>0</v>
      </c>
      <c r="W13" s="96"/>
      <c r="X13" s="96">
        <v>0</v>
      </c>
      <c r="Y13" s="96">
        <v>0</v>
      </c>
      <c r="Z13" s="96">
        <v>-12.433333333333337</v>
      </c>
      <c r="AA13" s="96">
        <v>0</v>
      </c>
      <c r="AB13" s="96">
        <v>120.5</v>
      </c>
      <c r="AC13" s="96">
        <v>0</v>
      </c>
      <c r="AD13" s="90">
        <f>ROUND(F13*(J13)/$A$5*$B$5,-3)</f>
        <v>6205000</v>
      </c>
      <c r="AE13" s="95">
        <f>ROUND(IF(I13="A",(D13-F13-4500000)*(J13)/$A$5*$B$5,IF(I13="B",(D13-F13-4500000)*0.5*(J13)/$A$5*$B$5,IF(I13="C",0))),-3)</f>
        <v>4238000</v>
      </c>
      <c r="AF13" s="96">
        <f>ROUND(G13*(K13)/$A$5,-3)</f>
        <v>341000</v>
      </c>
      <c r="AG13" s="96"/>
      <c r="AH13" s="96">
        <f t="shared" si="5"/>
        <v>0</v>
      </c>
      <c r="AI13" s="96">
        <f>ROUND(G13*(L13)/$A$5,-3)</f>
        <v>0</v>
      </c>
      <c r="AJ13" s="96">
        <f>ROUND(G13*N13/$A$5*85%,-3)</f>
        <v>0</v>
      </c>
      <c r="AK13" s="97">
        <f t="shared" si="0"/>
        <v>9164000</v>
      </c>
      <c r="AL13" s="85">
        <f t="shared" si="1"/>
        <v>4647000</v>
      </c>
      <c r="AM13" s="85">
        <f t="shared" si="2"/>
        <v>0</v>
      </c>
      <c r="AN13" s="85">
        <f t="shared" si="3"/>
        <v>4300000</v>
      </c>
      <c r="AO13" s="85">
        <f t="shared" si="4"/>
        <v>0</v>
      </c>
      <c r="AP13" s="98">
        <f>ROUND((IF(I13="A",0,IF(I13="B",-(1330000)*50%,IF(I13="C",-(1330000)*100%))))*(J13)/$A$5,-3)</f>
        <v>0</v>
      </c>
      <c r="AQ13" s="101"/>
      <c r="AR13" s="96"/>
      <c r="AS13" s="97"/>
      <c r="AT13" s="97"/>
      <c r="AU13" s="97"/>
      <c r="AV13" s="97"/>
      <c r="AW13" s="99">
        <f>ROUND(SUM(AD13:AU13)-AV13,-3)</f>
        <v>28895000</v>
      </c>
      <c r="AX13" s="46">
        <f t="shared" si="6"/>
        <v>141000</v>
      </c>
      <c r="AY13" s="51">
        <v>546400</v>
      </c>
      <c r="AZ13" s="51">
        <v>102450</v>
      </c>
      <c r="BA13" s="51">
        <v>68300</v>
      </c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>
        <f t="shared" ref="BN13:BN26" si="10">SUM(AX13:BM13)</f>
        <v>858150</v>
      </c>
      <c r="BO13" s="51">
        <v>80000</v>
      </c>
      <c r="BP13" s="51"/>
      <c r="BQ13" s="52">
        <f t="shared" si="7"/>
        <v>28116850</v>
      </c>
      <c r="BR13" s="51">
        <v>100000</v>
      </c>
      <c r="BS13" s="51">
        <v>21</v>
      </c>
      <c r="BT13" s="51">
        <f t="shared" si="8"/>
        <v>693000</v>
      </c>
      <c r="BU13" s="52">
        <f t="shared" si="9"/>
        <v>28909850</v>
      </c>
    </row>
    <row r="14" spans="1:73" s="26" customFormat="1" ht="48" customHeight="1">
      <c r="A14" s="17">
        <v>4</v>
      </c>
      <c r="B14" s="42" t="s">
        <v>23</v>
      </c>
      <c r="C14" s="43" t="s">
        <v>84</v>
      </c>
      <c r="D14" s="89">
        <v>14910000</v>
      </c>
      <c r="E14" s="16">
        <v>525000</v>
      </c>
      <c r="F14" s="15">
        <v>6500000</v>
      </c>
      <c r="G14" s="16">
        <v>7140000</v>
      </c>
      <c r="H14" s="16">
        <v>525000</v>
      </c>
      <c r="I14" s="90" t="s">
        <v>54</v>
      </c>
      <c r="J14" s="91">
        <v>21</v>
      </c>
      <c r="K14" s="91">
        <v>1</v>
      </c>
      <c r="L14" s="91">
        <v>0</v>
      </c>
      <c r="M14" s="91">
        <v>0</v>
      </c>
      <c r="N14" s="91"/>
      <c r="O14" s="91">
        <v>0</v>
      </c>
      <c r="P14" s="100">
        <v>0</v>
      </c>
      <c r="Q14" s="93"/>
      <c r="R14" s="93"/>
      <c r="S14" s="93">
        <v>0</v>
      </c>
      <c r="T14" s="94">
        <v>100</v>
      </c>
      <c r="U14" s="94">
        <v>0</v>
      </c>
      <c r="V14" s="94">
        <v>0</v>
      </c>
      <c r="W14" s="94">
        <v>0</v>
      </c>
      <c r="X14" s="94">
        <v>49.6</v>
      </c>
      <c r="Y14" s="94">
        <v>0</v>
      </c>
      <c r="Z14" s="94">
        <v>6.3999999999999986</v>
      </c>
      <c r="AA14" s="94">
        <v>0</v>
      </c>
      <c r="AB14" s="94">
        <v>9</v>
      </c>
      <c r="AC14" s="94">
        <v>0</v>
      </c>
      <c r="AD14" s="90">
        <f>ROUND(F14*(J14)/$A$5*$B$5,-3)</f>
        <v>6205000</v>
      </c>
      <c r="AE14" s="95">
        <f>ROUND(IF(I14="A",(D14-F14-4500000)*(J14)/$A$5*$B$5,IF(I14="B",(D14-F14-4500000)*0.5*(J14)/$A$5*$B$5,IF(I14="C",0))),-3)</f>
        <v>1866000</v>
      </c>
      <c r="AF14" s="96">
        <f>ROUND(G14*(K14)/$A$5,-3)</f>
        <v>325000</v>
      </c>
      <c r="AG14" s="96"/>
      <c r="AH14" s="96">
        <f t="shared" si="5"/>
        <v>0</v>
      </c>
      <c r="AI14" s="96">
        <f>ROUND(G14*(L14)/$A$5,-3)</f>
        <v>0</v>
      </c>
      <c r="AJ14" s="96">
        <f>ROUND(G14*N14/$A$5*85%,-3)</f>
        <v>0</v>
      </c>
      <c r="AK14" s="97">
        <f t="shared" si="0"/>
        <v>0</v>
      </c>
      <c r="AL14" s="85">
        <f t="shared" si="1"/>
        <v>2795000</v>
      </c>
      <c r="AM14" s="85">
        <f t="shared" si="2"/>
        <v>0</v>
      </c>
      <c r="AN14" s="85">
        <f t="shared" si="3"/>
        <v>4300000</v>
      </c>
      <c r="AO14" s="85">
        <f t="shared" si="4"/>
        <v>0</v>
      </c>
      <c r="AP14" s="98"/>
      <c r="AQ14" s="96">
        <v>525000</v>
      </c>
      <c r="AR14" s="96"/>
      <c r="AS14" s="97">
        <v>1791000</v>
      </c>
      <c r="AT14" s="97"/>
      <c r="AU14" s="97"/>
      <c r="AV14" s="97"/>
      <c r="AW14" s="99">
        <f>ROUND(SUM(AD14:AU14)-AV14,-3)</f>
        <v>17807000</v>
      </c>
      <c r="AX14" s="46">
        <f t="shared" si="6"/>
        <v>85000</v>
      </c>
      <c r="AY14" s="51">
        <v>561200</v>
      </c>
      <c r="AZ14" s="51">
        <v>105225</v>
      </c>
      <c r="BA14" s="51">
        <v>70150</v>
      </c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2">
        <f t="shared" si="10"/>
        <v>821575</v>
      </c>
      <c r="BO14" s="51"/>
      <c r="BP14" s="51"/>
      <c r="BQ14" s="52">
        <f t="shared" si="7"/>
        <v>16985425</v>
      </c>
      <c r="BR14" s="51">
        <v>100000</v>
      </c>
      <c r="BS14" s="51">
        <v>21</v>
      </c>
      <c r="BT14" s="51">
        <f t="shared" si="8"/>
        <v>693000</v>
      </c>
      <c r="BU14" s="52">
        <f t="shared" si="9"/>
        <v>17778425</v>
      </c>
    </row>
    <row r="15" spans="1:73" s="27" customFormat="1" ht="48" customHeight="1">
      <c r="A15" s="17">
        <v>5</v>
      </c>
      <c r="B15" s="42" t="s">
        <v>41</v>
      </c>
      <c r="C15" s="44" t="s">
        <v>21</v>
      </c>
      <c r="D15" s="89">
        <v>15440000</v>
      </c>
      <c r="E15" s="16"/>
      <c r="F15" s="15">
        <v>6500000</v>
      </c>
      <c r="G15" s="16">
        <v>7510000</v>
      </c>
      <c r="H15" s="16"/>
      <c r="I15" s="90" t="s">
        <v>18</v>
      </c>
      <c r="J15" s="91">
        <v>21</v>
      </c>
      <c r="K15" s="91">
        <v>1</v>
      </c>
      <c r="L15" s="91">
        <v>0</v>
      </c>
      <c r="M15" s="91">
        <v>0</v>
      </c>
      <c r="N15" s="91"/>
      <c r="O15" s="91">
        <v>0</v>
      </c>
      <c r="P15" s="100">
        <v>0</v>
      </c>
      <c r="Q15" s="93"/>
      <c r="R15" s="93"/>
      <c r="S15" s="93">
        <v>0</v>
      </c>
      <c r="T15" s="92">
        <v>50</v>
      </c>
      <c r="U15" s="92">
        <v>0</v>
      </c>
      <c r="V15" s="92">
        <v>0</v>
      </c>
      <c r="W15" s="92"/>
      <c r="X15" s="92">
        <v>4.6999999999999993</v>
      </c>
      <c r="Y15" s="92">
        <v>0</v>
      </c>
      <c r="Z15" s="92">
        <v>0</v>
      </c>
      <c r="AA15" s="92">
        <v>0</v>
      </c>
      <c r="AB15" s="92">
        <v>6</v>
      </c>
      <c r="AC15" s="92">
        <v>0</v>
      </c>
      <c r="AD15" s="90">
        <f t="shared" ref="AD15:AD22" si="11">ROUND(F15*(J15)/$A$5*$B$5,-3)</f>
        <v>6205000</v>
      </c>
      <c r="AE15" s="95">
        <f t="shared" ref="AE15:AE22" si="12">ROUND(IF(I15="A",(D15-F15-4500000)*(J15)/$A$5*$B$5,IF(I15="B",(D15-F15-4500000)*0.5*(J15)/$A$5*$B$5,IF(I15="C",0))),-3)</f>
        <v>4238000</v>
      </c>
      <c r="AF15" s="96">
        <f t="shared" ref="AF15:AF26" si="13">ROUND(G15*(K15)/$A$5,-3)</f>
        <v>341000</v>
      </c>
      <c r="AG15" s="96"/>
      <c r="AH15" s="96">
        <f t="shared" si="5"/>
        <v>0</v>
      </c>
      <c r="AI15" s="96">
        <f t="shared" ref="AI15:AI21" si="14">ROUND(G15*(L15)/$A$5,-3)</f>
        <v>0</v>
      </c>
      <c r="AJ15" s="96">
        <f t="shared" ref="AJ15:AJ25" si="15">ROUND(G15*N15/$A$5*85%,-3)</f>
        <v>0</v>
      </c>
      <c r="AK15" s="97">
        <f t="shared" si="0"/>
        <v>0</v>
      </c>
      <c r="AL15" s="85">
        <f t="shared" si="1"/>
        <v>460000</v>
      </c>
      <c r="AM15" s="85">
        <f t="shared" si="2"/>
        <v>0</v>
      </c>
      <c r="AN15" s="85">
        <f t="shared" si="3"/>
        <v>2150000</v>
      </c>
      <c r="AO15" s="85">
        <f t="shared" si="4"/>
        <v>0</v>
      </c>
      <c r="AP15" s="98">
        <f t="shared" ref="AP15:AP20" si="16">ROUND((IF(I15="A",0,IF(I15="B",-(1330000)*50%,IF(I15="C",-(1330000)*100%))))*(J15)/$A$5,-3)</f>
        <v>0</v>
      </c>
      <c r="AQ15" s="102"/>
      <c r="AR15" s="96">
        <f>E15*(J15+K15)/$A$5</f>
        <v>0</v>
      </c>
      <c r="AS15" s="96">
        <v>532000</v>
      </c>
      <c r="AT15" s="96"/>
      <c r="AU15" s="96"/>
      <c r="AV15" s="96"/>
      <c r="AW15" s="99">
        <f t="shared" ref="AW15:AW26" si="17">ROUND(SUM(AD15:AU15)-AV15,-3)</f>
        <v>13926000</v>
      </c>
      <c r="AX15" s="46">
        <f t="shared" si="6"/>
        <v>66000</v>
      </c>
      <c r="AY15" s="51">
        <v>546400</v>
      </c>
      <c r="AZ15" s="51">
        <v>102450</v>
      </c>
      <c r="BA15" s="51">
        <v>68300</v>
      </c>
      <c r="BB15" s="51"/>
      <c r="BC15" s="51"/>
      <c r="BD15" s="51"/>
      <c r="BE15" s="51"/>
      <c r="BF15" s="51"/>
      <c r="BG15" s="51"/>
      <c r="BH15" s="51"/>
      <c r="BI15" s="51"/>
      <c r="BJ15" s="51">
        <v>2022000</v>
      </c>
      <c r="BK15" s="51"/>
      <c r="BL15" s="51"/>
      <c r="BM15" s="51"/>
      <c r="BN15" s="52">
        <f t="shared" si="10"/>
        <v>2805150</v>
      </c>
      <c r="BO15" s="51"/>
      <c r="BP15" s="51"/>
      <c r="BQ15" s="52">
        <f t="shared" si="7"/>
        <v>11120850</v>
      </c>
      <c r="BR15" s="51">
        <v>100000</v>
      </c>
      <c r="BS15" s="51">
        <v>21</v>
      </c>
      <c r="BT15" s="51">
        <f t="shared" si="8"/>
        <v>693000</v>
      </c>
      <c r="BU15" s="52">
        <f t="shared" si="9"/>
        <v>11913850</v>
      </c>
    </row>
    <row r="16" spans="1:73" s="27" customFormat="1" ht="48" customHeight="1">
      <c r="A16" s="17">
        <v>6</v>
      </c>
      <c r="B16" s="42" t="s">
        <v>19</v>
      </c>
      <c r="C16" s="43" t="s">
        <v>49</v>
      </c>
      <c r="D16" s="89">
        <v>14910000</v>
      </c>
      <c r="E16" s="16">
        <v>420000</v>
      </c>
      <c r="F16" s="15">
        <v>6500000</v>
      </c>
      <c r="G16" s="16">
        <v>7140000</v>
      </c>
      <c r="H16" s="16">
        <v>420000</v>
      </c>
      <c r="I16" s="90" t="s">
        <v>18</v>
      </c>
      <c r="J16" s="91">
        <v>21</v>
      </c>
      <c r="K16" s="91">
        <v>1</v>
      </c>
      <c r="L16" s="91">
        <v>0</v>
      </c>
      <c r="M16" s="91">
        <v>0</v>
      </c>
      <c r="N16" s="91"/>
      <c r="O16" s="91">
        <v>0</v>
      </c>
      <c r="P16" s="100">
        <v>46.5</v>
      </c>
      <c r="Q16" s="100"/>
      <c r="R16" s="100"/>
      <c r="S16" s="93">
        <v>0</v>
      </c>
      <c r="T16" s="92">
        <v>100</v>
      </c>
      <c r="U16" s="92">
        <v>0</v>
      </c>
      <c r="V16" s="92">
        <v>0</v>
      </c>
      <c r="W16" s="92"/>
      <c r="X16" s="92">
        <v>0</v>
      </c>
      <c r="Y16" s="92">
        <v>0</v>
      </c>
      <c r="Z16" s="92">
        <v>8</v>
      </c>
      <c r="AA16" s="92">
        <v>0</v>
      </c>
      <c r="AB16" s="92">
        <v>2</v>
      </c>
      <c r="AC16" s="92">
        <v>0</v>
      </c>
      <c r="AD16" s="90">
        <f t="shared" si="11"/>
        <v>6205000</v>
      </c>
      <c r="AE16" s="95">
        <f t="shared" si="12"/>
        <v>3732000</v>
      </c>
      <c r="AF16" s="96">
        <f t="shared" si="13"/>
        <v>325000</v>
      </c>
      <c r="AG16" s="96"/>
      <c r="AH16" s="96">
        <f t="shared" si="5"/>
        <v>0</v>
      </c>
      <c r="AI16" s="96">
        <f t="shared" si="14"/>
        <v>0</v>
      </c>
      <c r="AJ16" s="103">
        <f t="shared" si="15"/>
        <v>0</v>
      </c>
      <c r="AK16" s="97">
        <f t="shared" si="0"/>
        <v>14694000</v>
      </c>
      <c r="AL16" s="85">
        <f t="shared" si="1"/>
        <v>430000</v>
      </c>
      <c r="AM16" s="85">
        <f t="shared" si="2"/>
        <v>0</v>
      </c>
      <c r="AN16" s="85">
        <f t="shared" si="3"/>
        <v>4300000</v>
      </c>
      <c r="AO16" s="85">
        <f t="shared" si="4"/>
        <v>0</v>
      </c>
      <c r="AP16" s="98">
        <f t="shared" si="16"/>
        <v>0</v>
      </c>
      <c r="AQ16" s="89">
        <v>420000</v>
      </c>
      <c r="AR16" s="89"/>
      <c r="AS16" s="96">
        <v>1864000</v>
      </c>
      <c r="AT16" s="96"/>
      <c r="AU16" s="96"/>
      <c r="AV16" s="104"/>
      <c r="AW16" s="99">
        <f t="shared" si="17"/>
        <v>31970000</v>
      </c>
      <c r="AX16" s="46">
        <f t="shared" si="6"/>
        <v>156000</v>
      </c>
      <c r="AY16" s="51">
        <v>552800</v>
      </c>
      <c r="AZ16" s="51">
        <v>103650</v>
      </c>
      <c r="BA16" s="51">
        <v>69100</v>
      </c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2">
        <f>SUM(AX16:BM16)</f>
        <v>881550</v>
      </c>
      <c r="BO16" s="51"/>
      <c r="BP16" s="51"/>
      <c r="BQ16" s="52">
        <f>(AW16-BN16+BO16+BP16)</f>
        <v>31088450</v>
      </c>
      <c r="BR16" s="51">
        <v>100000</v>
      </c>
      <c r="BS16" s="51">
        <v>21</v>
      </c>
      <c r="BT16" s="51">
        <f t="shared" si="8"/>
        <v>693000</v>
      </c>
      <c r="BU16" s="52">
        <f t="shared" si="9"/>
        <v>31881450</v>
      </c>
    </row>
    <row r="17" spans="1:73" s="27" customFormat="1" ht="48" customHeight="1">
      <c r="A17" s="17">
        <v>7</v>
      </c>
      <c r="B17" s="45" t="s">
        <v>50</v>
      </c>
      <c r="C17" s="44" t="s">
        <v>21</v>
      </c>
      <c r="D17" s="89">
        <v>14370000</v>
      </c>
      <c r="E17" s="91"/>
      <c r="F17" s="15">
        <v>6500000</v>
      </c>
      <c r="G17" s="16">
        <v>6800000</v>
      </c>
      <c r="H17" s="16"/>
      <c r="I17" s="90" t="s">
        <v>18</v>
      </c>
      <c r="J17" s="91">
        <v>21</v>
      </c>
      <c r="K17" s="91">
        <v>1</v>
      </c>
      <c r="L17" s="91">
        <v>0</v>
      </c>
      <c r="M17" s="91">
        <v>0</v>
      </c>
      <c r="N17" s="91"/>
      <c r="O17" s="91">
        <v>0</v>
      </c>
      <c r="P17" s="100">
        <v>0</v>
      </c>
      <c r="Q17" s="100"/>
      <c r="R17" s="100"/>
      <c r="S17" s="93">
        <v>0</v>
      </c>
      <c r="T17" s="92">
        <v>50</v>
      </c>
      <c r="U17" s="92">
        <v>0</v>
      </c>
      <c r="V17" s="92">
        <v>0</v>
      </c>
      <c r="W17" s="92">
        <v>0</v>
      </c>
      <c r="X17" s="92">
        <v>0</v>
      </c>
      <c r="Y17" s="92">
        <v>0</v>
      </c>
      <c r="Z17" s="92">
        <v>5</v>
      </c>
      <c r="AA17" s="92">
        <v>0</v>
      </c>
      <c r="AB17" s="92">
        <v>1</v>
      </c>
      <c r="AC17" s="92">
        <v>0</v>
      </c>
      <c r="AD17" s="90">
        <f t="shared" si="11"/>
        <v>6205000</v>
      </c>
      <c r="AE17" s="95">
        <f t="shared" si="12"/>
        <v>3217000</v>
      </c>
      <c r="AF17" s="96">
        <f t="shared" si="13"/>
        <v>309000</v>
      </c>
      <c r="AG17" s="96"/>
      <c r="AH17" s="96">
        <f t="shared" si="5"/>
        <v>0</v>
      </c>
      <c r="AI17" s="96">
        <f t="shared" si="14"/>
        <v>0</v>
      </c>
      <c r="AJ17" s="96">
        <f t="shared" si="15"/>
        <v>0</v>
      </c>
      <c r="AK17" s="97">
        <f>ROUND(P17*316000,-3)+ROUND(O17*316000,-3)</f>
        <v>0</v>
      </c>
      <c r="AL17" s="85">
        <f t="shared" si="1"/>
        <v>258000</v>
      </c>
      <c r="AM17" s="85">
        <f t="shared" si="2"/>
        <v>0</v>
      </c>
      <c r="AN17" s="85">
        <f t="shared" si="3"/>
        <v>2150000</v>
      </c>
      <c r="AO17" s="85">
        <f t="shared" si="4"/>
        <v>0</v>
      </c>
      <c r="AP17" s="98">
        <f t="shared" si="16"/>
        <v>0</v>
      </c>
      <c r="AQ17" s="102"/>
      <c r="AR17" s="96">
        <f>E17*(J17+K17)/$A$5</f>
        <v>0</v>
      </c>
      <c r="AS17" s="96"/>
      <c r="AT17" s="96"/>
      <c r="AU17" s="96"/>
      <c r="AV17" s="104"/>
      <c r="AW17" s="99">
        <f t="shared" si="17"/>
        <v>12139000</v>
      </c>
      <c r="AX17" s="46">
        <f t="shared" si="6"/>
        <v>57000</v>
      </c>
      <c r="AY17" s="51">
        <v>494400</v>
      </c>
      <c r="AZ17" s="51">
        <v>92700</v>
      </c>
      <c r="BA17" s="51">
        <v>61800</v>
      </c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>
        <f t="shared" si="10"/>
        <v>705900</v>
      </c>
      <c r="BO17" s="51">
        <v>80000</v>
      </c>
      <c r="BP17" s="51"/>
      <c r="BQ17" s="52">
        <f t="shared" si="7"/>
        <v>11513100</v>
      </c>
      <c r="BR17" s="51">
        <v>100000</v>
      </c>
      <c r="BS17" s="51">
        <v>21</v>
      </c>
      <c r="BT17" s="51">
        <f t="shared" si="8"/>
        <v>693000</v>
      </c>
      <c r="BU17" s="52">
        <f t="shared" si="9"/>
        <v>12306100</v>
      </c>
    </row>
    <row r="18" spans="1:73" s="28" customFormat="1" ht="48" customHeight="1">
      <c r="A18" s="17">
        <v>8</v>
      </c>
      <c r="B18" s="45" t="s">
        <v>52</v>
      </c>
      <c r="C18" s="44" t="s">
        <v>21</v>
      </c>
      <c r="D18" s="89">
        <v>14370000</v>
      </c>
      <c r="E18" s="91"/>
      <c r="F18" s="15">
        <v>6500000</v>
      </c>
      <c r="G18" s="16">
        <v>6800000</v>
      </c>
      <c r="H18" s="16"/>
      <c r="I18" s="90" t="s">
        <v>18</v>
      </c>
      <c r="J18" s="91">
        <v>21</v>
      </c>
      <c r="K18" s="91">
        <v>1</v>
      </c>
      <c r="L18" s="91">
        <v>0</v>
      </c>
      <c r="M18" s="91">
        <v>0</v>
      </c>
      <c r="N18" s="91"/>
      <c r="O18" s="91">
        <v>0</v>
      </c>
      <c r="P18" s="100">
        <v>46.5</v>
      </c>
      <c r="Q18" s="93"/>
      <c r="R18" s="93"/>
      <c r="S18" s="93">
        <v>0</v>
      </c>
      <c r="T18" s="92">
        <v>20</v>
      </c>
      <c r="U18" s="92">
        <v>0</v>
      </c>
      <c r="V18" s="92">
        <v>80</v>
      </c>
      <c r="W18" s="92">
        <v>0</v>
      </c>
      <c r="X18" s="92">
        <v>0</v>
      </c>
      <c r="Y18" s="92">
        <v>0</v>
      </c>
      <c r="Z18" s="92">
        <v>0</v>
      </c>
      <c r="AA18" s="92">
        <v>0</v>
      </c>
      <c r="AB18" s="92">
        <v>0</v>
      </c>
      <c r="AC18" s="92">
        <v>0</v>
      </c>
      <c r="AD18" s="90">
        <f t="shared" si="11"/>
        <v>6205000</v>
      </c>
      <c r="AE18" s="95">
        <f t="shared" si="12"/>
        <v>3217000</v>
      </c>
      <c r="AF18" s="96">
        <f t="shared" si="13"/>
        <v>309000</v>
      </c>
      <c r="AG18" s="96"/>
      <c r="AH18" s="96">
        <f t="shared" si="5"/>
        <v>0</v>
      </c>
      <c r="AI18" s="96">
        <f t="shared" si="14"/>
        <v>0</v>
      </c>
      <c r="AJ18" s="96">
        <f t="shared" si="15"/>
        <v>0</v>
      </c>
      <c r="AK18" s="97">
        <f t="shared" ref="AK18:AK26" si="18">ROUND(P18*316000,-3)</f>
        <v>14694000</v>
      </c>
      <c r="AL18" s="85">
        <f t="shared" si="1"/>
        <v>0</v>
      </c>
      <c r="AM18" s="85">
        <f t="shared" si="2"/>
        <v>0</v>
      </c>
      <c r="AN18" s="85">
        <f t="shared" si="3"/>
        <v>4300000</v>
      </c>
      <c r="AO18" s="85">
        <f t="shared" si="4"/>
        <v>0</v>
      </c>
      <c r="AP18" s="98">
        <f t="shared" si="16"/>
        <v>0</v>
      </c>
      <c r="AQ18" s="102"/>
      <c r="AR18" s="96">
        <f>E18*(J18+K18)/$A$5</f>
        <v>0</v>
      </c>
      <c r="AS18" s="90">
        <v>1376000</v>
      </c>
      <c r="AT18" s="90"/>
      <c r="AU18" s="90"/>
      <c r="AV18" s="104"/>
      <c r="AW18" s="99">
        <f t="shared" si="17"/>
        <v>30101000</v>
      </c>
      <c r="AX18" s="46">
        <f t="shared" si="6"/>
        <v>147000</v>
      </c>
      <c r="AY18" s="51">
        <v>494400</v>
      </c>
      <c r="AZ18" s="51">
        <v>92700</v>
      </c>
      <c r="BA18" s="51">
        <v>61800</v>
      </c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2">
        <f t="shared" si="10"/>
        <v>795900</v>
      </c>
      <c r="BO18" s="51"/>
      <c r="BP18" s="51"/>
      <c r="BQ18" s="52">
        <f t="shared" si="7"/>
        <v>29305100</v>
      </c>
      <c r="BR18" s="51">
        <v>100000</v>
      </c>
      <c r="BS18" s="51">
        <v>21</v>
      </c>
      <c r="BT18" s="51">
        <f t="shared" si="8"/>
        <v>693000</v>
      </c>
      <c r="BU18" s="52">
        <f t="shared" si="9"/>
        <v>30098100</v>
      </c>
    </row>
    <row r="19" spans="1:73" s="28" customFormat="1" ht="48" customHeight="1">
      <c r="A19" s="17">
        <v>9</v>
      </c>
      <c r="B19" s="45" t="s">
        <v>55</v>
      </c>
      <c r="C19" s="44" t="s">
        <v>21</v>
      </c>
      <c r="D19" s="89">
        <v>14910000</v>
      </c>
      <c r="E19" s="91"/>
      <c r="F19" s="15">
        <v>6500000</v>
      </c>
      <c r="G19" s="16">
        <v>7140000</v>
      </c>
      <c r="H19" s="16"/>
      <c r="I19" s="90" t="s">
        <v>18</v>
      </c>
      <c r="J19" s="91">
        <v>21</v>
      </c>
      <c r="K19" s="91">
        <v>1</v>
      </c>
      <c r="L19" s="91">
        <v>0</v>
      </c>
      <c r="M19" s="91">
        <v>0</v>
      </c>
      <c r="N19" s="91"/>
      <c r="O19" s="91">
        <v>0</v>
      </c>
      <c r="P19" s="100">
        <v>0</v>
      </c>
      <c r="Q19" s="93"/>
      <c r="R19" s="93"/>
      <c r="S19" s="93">
        <v>0</v>
      </c>
      <c r="T19" s="92">
        <v>40</v>
      </c>
      <c r="U19" s="92">
        <v>0</v>
      </c>
      <c r="V19" s="92">
        <v>10</v>
      </c>
      <c r="W19" s="92">
        <v>0</v>
      </c>
      <c r="X19" s="92">
        <v>0</v>
      </c>
      <c r="Y19" s="92">
        <v>0</v>
      </c>
      <c r="Z19" s="92">
        <v>0</v>
      </c>
      <c r="AA19" s="92">
        <v>0</v>
      </c>
      <c r="AB19" s="92">
        <v>2.9333333333333371</v>
      </c>
      <c r="AC19" s="92">
        <v>15</v>
      </c>
      <c r="AD19" s="90">
        <f t="shared" si="11"/>
        <v>6205000</v>
      </c>
      <c r="AE19" s="95">
        <f t="shared" si="12"/>
        <v>3732000</v>
      </c>
      <c r="AF19" s="96">
        <f t="shared" si="13"/>
        <v>325000</v>
      </c>
      <c r="AG19" s="96"/>
      <c r="AH19" s="96">
        <f t="shared" si="5"/>
        <v>0</v>
      </c>
      <c r="AI19" s="96">
        <f t="shared" si="14"/>
        <v>0</v>
      </c>
      <c r="AJ19" s="96">
        <f t="shared" si="15"/>
        <v>0</v>
      </c>
      <c r="AK19" s="97">
        <f t="shared" si="18"/>
        <v>0</v>
      </c>
      <c r="AL19" s="85">
        <f t="shared" si="1"/>
        <v>126000</v>
      </c>
      <c r="AM19" s="85">
        <f t="shared" si="2"/>
        <v>810000</v>
      </c>
      <c r="AN19" s="85">
        <f t="shared" si="3"/>
        <v>2150000</v>
      </c>
      <c r="AO19" s="85">
        <f t="shared" si="4"/>
        <v>0</v>
      </c>
      <c r="AP19" s="98">
        <f t="shared" si="16"/>
        <v>0</v>
      </c>
      <c r="AQ19" s="102"/>
      <c r="AR19" s="96">
        <f>E19*(J19+K19)/$A$5</f>
        <v>0</v>
      </c>
      <c r="AS19" s="90">
        <v>1992000</v>
      </c>
      <c r="AT19" s="90"/>
      <c r="AU19" s="90"/>
      <c r="AV19" s="104"/>
      <c r="AW19" s="99">
        <f t="shared" si="17"/>
        <v>15340000</v>
      </c>
      <c r="AX19" s="46">
        <f t="shared" si="6"/>
        <v>73000</v>
      </c>
      <c r="AY19" s="51">
        <v>519200</v>
      </c>
      <c r="AZ19" s="51">
        <v>97350</v>
      </c>
      <c r="BA19" s="51">
        <v>64900</v>
      </c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>
        <f t="shared" si="10"/>
        <v>754450</v>
      </c>
      <c r="BO19" s="51"/>
      <c r="BP19" s="51"/>
      <c r="BQ19" s="52">
        <f t="shared" si="7"/>
        <v>14585550</v>
      </c>
      <c r="BR19" s="51">
        <v>100000</v>
      </c>
      <c r="BS19" s="51">
        <v>21</v>
      </c>
      <c r="BT19" s="51">
        <f t="shared" si="8"/>
        <v>693000</v>
      </c>
      <c r="BU19" s="52">
        <f t="shared" si="9"/>
        <v>15378550</v>
      </c>
    </row>
    <row r="20" spans="1:73" s="28" customFormat="1" ht="48" customHeight="1">
      <c r="A20" s="17">
        <v>10</v>
      </c>
      <c r="B20" s="45" t="s">
        <v>56</v>
      </c>
      <c r="C20" s="44" t="s">
        <v>21</v>
      </c>
      <c r="D20" s="89">
        <v>14910000</v>
      </c>
      <c r="E20" s="91"/>
      <c r="F20" s="15">
        <v>6500000</v>
      </c>
      <c r="G20" s="16">
        <v>7140000</v>
      </c>
      <c r="H20" s="16"/>
      <c r="I20" s="90" t="s">
        <v>18</v>
      </c>
      <c r="J20" s="91">
        <v>21</v>
      </c>
      <c r="K20" s="91">
        <v>1</v>
      </c>
      <c r="L20" s="91">
        <v>0</v>
      </c>
      <c r="M20" s="91">
        <v>0</v>
      </c>
      <c r="N20" s="91"/>
      <c r="O20" s="91">
        <v>0</v>
      </c>
      <c r="P20" s="100">
        <v>0</v>
      </c>
      <c r="Q20" s="93"/>
      <c r="R20" s="93"/>
      <c r="S20" s="97">
        <v>0</v>
      </c>
      <c r="T20" s="92">
        <v>50</v>
      </c>
      <c r="U20" s="92">
        <v>0</v>
      </c>
      <c r="V20" s="92">
        <v>50</v>
      </c>
      <c r="W20" s="92">
        <v>0</v>
      </c>
      <c r="X20" s="92">
        <v>0</v>
      </c>
      <c r="Y20" s="92">
        <v>0</v>
      </c>
      <c r="Z20" s="92">
        <v>6.5</v>
      </c>
      <c r="AA20" s="92">
        <v>0</v>
      </c>
      <c r="AB20" s="92">
        <v>2.9333333333333371</v>
      </c>
      <c r="AC20" s="92">
        <v>0</v>
      </c>
      <c r="AD20" s="90">
        <f t="shared" si="11"/>
        <v>6205000</v>
      </c>
      <c r="AE20" s="95">
        <f t="shared" si="12"/>
        <v>3732000</v>
      </c>
      <c r="AF20" s="96">
        <f t="shared" si="13"/>
        <v>325000</v>
      </c>
      <c r="AG20" s="96"/>
      <c r="AH20" s="96">
        <f t="shared" si="5"/>
        <v>0</v>
      </c>
      <c r="AI20" s="96">
        <f t="shared" si="14"/>
        <v>0</v>
      </c>
      <c r="AJ20" s="96">
        <f t="shared" si="15"/>
        <v>0</v>
      </c>
      <c r="AK20" s="97">
        <f t="shared" si="18"/>
        <v>0</v>
      </c>
      <c r="AL20" s="85">
        <f t="shared" si="1"/>
        <v>406000</v>
      </c>
      <c r="AM20" s="85">
        <f t="shared" si="2"/>
        <v>0</v>
      </c>
      <c r="AN20" s="85">
        <f t="shared" si="3"/>
        <v>4300000</v>
      </c>
      <c r="AO20" s="85">
        <f t="shared" si="4"/>
        <v>0</v>
      </c>
      <c r="AP20" s="98">
        <f t="shared" si="16"/>
        <v>0</v>
      </c>
      <c r="AQ20" s="102"/>
      <c r="AR20" s="96">
        <f>E20*(J20+K20)/$A$5</f>
        <v>0</v>
      </c>
      <c r="AS20" s="90">
        <v>7254000</v>
      </c>
      <c r="AT20" s="90"/>
      <c r="AU20" s="90"/>
      <c r="AV20" s="104"/>
      <c r="AW20" s="99">
        <f t="shared" si="17"/>
        <v>22222000</v>
      </c>
      <c r="AX20" s="46">
        <f t="shared" si="6"/>
        <v>108000</v>
      </c>
      <c r="AY20" s="51">
        <v>519200</v>
      </c>
      <c r="AZ20" s="51">
        <v>97350</v>
      </c>
      <c r="BA20" s="51">
        <v>64900</v>
      </c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2">
        <f t="shared" si="10"/>
        <v>789450</v>
      </c>
      <c r="BO20" s="51"/>
      <c r="BP20" s="51"/>
      <c r="BQ20" s="52">
        <f t="shared" si="7"/>
        <v>21432550</v>
      </c>
      <c r="BR20" s="51">
        <v>100000</v>
      </c>
      <c r="BS20" s="51">
        <v>21</v>
      </c>
      <c r="BT20" s="51">
        <f t="shared" si="8"/>
        <v>693000</v>
      </c>
      <c r="BU20" s="52">
        <f t="shared" si="9"/>
        <v>22225550</v>
      </c>
    </row>
    <row r="21" spans="1:73" s="28" customFormat="1" ht="48" customHeight="1">
      <c r="A21" s="17">
        <v>11</v>
      </c>
      <c r="B21" s="45" t="s">
        <v>58</v>
      </c>
      <c r="C21" s="44" t="s">
        <v>21</v>
      </c>
      <c r="D21" s="89">
        <v>15440000</v>
      </c>
      <c r="E21" s="91"/>
      <c r="F21" s="15">
        <v>6500000</v>
      </c>
      <c r="G21" s="16">
        <v>7510000</v>
      </c>
      <c r="H21" s="16"/>
      <c r="I21" s="90" t="s">
        <v>18</v>
      </c>
      <c r="J21" s="91">
        <v>21</v>
      </c>
      <c r="K21" s="91">
        <v>1</v>
      </c>
      <c r="L21" s="91">
        <v>0</v>
      </c>
      <c r="M21" s="91">
        <v>0</v>
      </c>
      <c r="N21" s="91"/>
      <c r="O21" s="91">
        <v>0</v>
      </c>
      <c r="P21" s="100">
        <v>0</v>
      </c>
      <c r="Q21" s="93"/>
      <c r="R21" s="93"/>
      <c r="S21" s="93">
        <v>0</v>
      </c>
      <c r="T21" s="92">
        <v>0</v>
      </c>
      <c r="U21" s="92">
        <v>0</v>
      </c>
      <c r="V21" s="92">
        <v>100</v>
      </c>
      <c r="W21" s="92">
        <v>0</v>
      </c>
      <c r="X21" s="92">
        <v>0</v>
      </c>
      <c r="Y21" s="92">
        <v>0</v>
      </c>
      <c r="Z21" s="92">
        <v>0</v>
      </c>
      <c r="AA21" s="92">
        <v>0</v>
      </c>
      <c r="AB21" s="92">
        <v>17</v>
      </c>
      <c r="AC21" s="92">
        <v>0</v>
      </c>
      <c r="AD21" s="90">
        <f t="shared" si="11"/>
        <v>6205000</v>
      </c>
      <c r="AE21" s="95">
        <f t="shared" si="12"/>
        <v>4238000</v>
      </c>
      <c r="AF21" s="96">
        <f t="shared" si="13"/>
        <v>341000</v>
      </c>
      <c r="AG21" s="96"/>
      <c r="AH21" s="96">
        <f t="shared" si="5"/>
        <v>0</v>
      </c>
      <c r="AI21" s="96">
        <f t="shared" si="14"/>
        <v>0</v>
      </c>
      <c r="AJ21" s="96">
        <f t="shared" si="15"/>
        <v>0</v>
      </c>
      <c r="AK21" s="97">
        <f t="shared" si="18"/>
        <v>0</v>
      </c>
      <c r="AL21" s="85">
        <f t="shared" si="1"/>
        <v>731000</v>
      </c>
      <c r="AM21" s="85">
        <f t="shared" si="2"/>
        <v>0</v>
      </c>
      <c r="AN21" s="85">
        <f t="shared" si="3"/>
        <v>4300000</v>
      </c>
      <c r="AO21" s="85">
        <f t="shared" si="4"/>
        <v>0</v>
      </c>
      <c r="AP21" s="98"/>
      <c r="AQ21" s="102"/>
      <c r="AR21" s="96">
        <f>E21*(J21+K21)/$A$5</f>
        <v>0</v>
      </c>
      <c r="AS21" s="90">
        <v>15282000</v>
      </c>
      <c r="AT21" s="90"/>
      <c r="AU21" s="90"/>
      <c r="AV21" s="104"/>
      <c r="AW21" s="99">
        <f t="shared" si="17"/>
        <v>31097000</v>
      </c>
      <c r="AX21" s="46">
        <f t="shared" si="6"/>
        <v>152000</v>
      </c>
      <c r="AY21" s="51">
        <v>546400</v>
      </c>
      <c r="AZ21" s="51">
        <v>102450</v>
      </c>
      <c r="BA21" s="51">
        <v>68300</v>
      </c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>
        <f t="shared" si="10"/>
        <v>869150</v>
      </c>
      <c r="BO21" s="51"/>
      <c r="BP21" s="51"/>
      <c r="BQ21" s="52">
        <f t="shared" si="7"/>
        <v>30227850</v>
      </c>
      <c r="BR21" s="51">
        <v>100000</v>
      </c>
      <c r="BS21" s="51">
        <v>21</v>
      </c>
      <c r="BT21" s="51">
        <f t="shared" si="8"/>
        <v>693000</v>
      </c>
      <c r="BU21" s="52">
        <f t="shared" si="9"/>
        <v>31020850</v>
      </c>
    </row>
    <row r="22" spans="1:73" s="28" customFormat="1" ht="48" customHeight="1">
      <c r="A22" s="17">
        <v>12</v>
      </c>
      <c r="B22" s="45" t="s">
        <v>102</v>
      </c>
      <c r="C22" s="43" t="s">
        <v>103</v>
      </c>
      <c r="D22" s="89">
        <v>14370000</v>
      </c>
      <c r="E22" s="91"/>
      <c r="F22" s="15">
        <v>6500000</v>
      </c>
      <c r="G22" s="16">
        <v>6800000</v>
      </c>
      <c r="H22" s="16"/>
      <c r="I22" s="90" t="s">
        <v>18</v>
      </c>
      <c r="J22" s="91"/>
      <c r="K22" s="91">
        <v>1</v>
      </c>
      <c r="L22" s="91">
        <v>21</v>
      </c>
      <c r="M22" s="91">
        <v>0</v>
      </c>
      <c r="N22" s="91"/>
      <c r="O22" s="91"/>
      <c r="P22" s="100">
        <v>0</v>
      </c>
      <c r="Q22" s="93"/>
      <c r="R22" s="93"/>
      <c r="S22" s="93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0">
        <f t="shared" si="11"/>
        <v>0</v>
      </c>
      <c r="AE22" s="95">
        <f t="shared" si="12"/>
        <v>0</v>
      </c>
      <c r="AF22" s="96">
        <f t="shared" si="13"/>
        <v>309000</v>
      </c>
      <c r="AG22" s="96"/>
      <c r="AH22" s="96">
        <f t="shared" si="5"/>
        <v>0</v>
      </c>
      <c r="AI22" s="96">
        <f>ROUND(G22*(L22)/$A$5,-3)</f>
        <v>6491000</v>
      </c>
      <c r="AJ22" s="96">
        <f>ROUND(G22*N22/$A$5*85%,-3)</f>
        <v>0</v>
      </c>
      <c r="AK22" s="97">
        <f t="shared" si="18"/>
        <v>0</v>
      </c>
      <c r="AL22" s="85">
        <f t="shared" si="1"/>
        <v>0</v>
      </c>
      <c r="AM22" s="85">
        <f t="shared" si="2"/>
        <v>0</v>
      </c>
      <c r="AN22" s="85">
        <f t="shared" si="3"/>
        <v>0</v>
      </c>
      <c r="AO22" s="85">
        <f t="shared" si="4"/>
        <v>0</v>
      </c>
      <c r="AP22" s="98">
        <f>ROUND((IF(I22="A",0,IF(I22="B",-(1330000)*50%,IF(I22="C",-(1330000)*100%))))*(J22)/$A$5,-3)</f>
        <v>0</v>
      </c>
      <c r="AQ22" s="102"/>
      <c r="AR22" s="96"/>
      <c r="AS22" s="90"/>
      <c r="AT22" s="90"/>
      <c r="AU22" s="90"/>
      <c r="AV22" s="104"/>
      <c r="AW22" s="99">
        <f t="shared" si="17"/>
        <v>6800000</v>
      </c>
      <c r="AX22" s="46">
        <f t="shared" si="6"/>
        <v>31000</v>
      </c>
      <c r="AY22" s="51">
        <v>494400</v>
      </c>
      <c r="AZ22" s="51">
        <v>92700</v>
      </c>
      <c r="BA22" s="51">
        <v>61800</v>
      </c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2">
        <f t="shared" si="10"/>
        <v>679900</v>
      </c>
      <c r="BO22" s="51"/>
      <c r="BP22" s="51"/>
      <c r="BQ22" s="52">
        <f t="shared" si="7"/>
        <v>6120100</v>
      </c>
      <c r="BR22" s="51">
        <v>100000</v>
      </c>
      <c r="BS22" s="51">
        <v>21</v>
      </c>
      <c r="BT22" s="51">
        <f t="shared" si="8"/>
        <v>693000</v>
      </c>
      <c r="BU22" s="52">
        <f t="shared" si="9"/>
        <v>6913100</v>
      </c>
    </row>
    <row r="23" spans="1:73" s="27" customFormat="1" ht="48" customHeight="1">
      <c r="A23" s="17">
        <v>13</v>
      </c>
      <c r="B23" s="42" t="s">
        <v>24</v>
      </c>
      <c r="C23" s="44" t="s">
        <v>53</v>
      </c>
      <c r="D23" s="91">
        <v>9620000</v>
      </c>
      <c r="E23" s="91"/>
      <c r="F23" s="15">
        <v>6500000</v>
      </c>
      <c r="G23" s="16">
        <v>6450000</v>
      </c>
      <c r="H23" s="16"/>
      <c r="I23" s="90" t="s">
        <v>18</v>
      </c>
      <c r="J23" s="91">
        <v>21</v>
      </c>
      <c r="K23" s="91">
        <v>1</v>
      </c>
      <c r="L23" s="91">
        <v>0</v>
      </c>
      <c r="M23" s="91">
        <v>0</v>
      </c>
      <c r="N23" s="91"/>
      <c r="O23" s="91">
        <v>0</v>
      </c>
      <c r="P23" s="100">
        <v>46.5</v>
      </c>
      <c r="Q23" s="93"/>
      <c r="R23" s="93"/>
      <c r="S23" s="93">
        <v>0</v>
      </c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0">
        <f>ROUND(F23*(J23)/$A$5,-3)</f>
        <v>6205000</v>
      </c>
      <c r="AE23" s="95">
        <f>ROUND(IF(I23="A",(D23-F23)*(J23)/$A$5,IF(I23="B",(D23-F23)*0.5*(J23)/$A$5*$B$5,IF(I23="C",0))),-3)</f>
        <v>2978000</v>
      </c>
      <c r="AF23" s="96">
        <f t="shared" si="13"/>
        <v>293000</v>
      </c>
      <c r="AG23" s="96"/>
      <c r="AH23" s="96">
        <f t="shared" si="5"/>
        <v>0</v>
      </c>
      <c r="AI23" s="96">
        <f>ROUND(G23*(L23)/$A$5,-3)</f>
        <v>0</v>
      </c>
      <c r="AJ23" s="96">
        <f t="shared" si="15"/>
        <v>0</v>
      </c>
      <c r="AK23" s="97">
        <f t="shared" si="18"/>
        <v>14694000</v>
      </c>
      <c r="AL23" s="85">
        <f>ROUND((X23*39000+Z23*39000+AB23*39000),-3)</f>
        <v>0</v>
      </c>
      <c r="AM23" s="85">
        <f>ROUND((AC23*52000+AA23*48600+Y23*52000),-3)</f>
        <v>0</v>
      </c>
      <c r="AN23" s="85">
        <f>ROUND((T23*39000+V23*39000),-3)</f>
        <v>0</v>
      </c>
      <c r="AO23" s="85">
        <f t="shared" si="4"/>
        <v>0</v>
      </c>
      <c r="AP23" s="98">
        <f>ROUND((IF(I23="A",0,IF(I23="B",-(1330000)*50%,IF(I23="C",-(1330000)*100%))))*(J23)/$A$5,-3)</f>
        <v>0</v>
      </c>
      <c r="AQ23" s="102"/>
      <c r="AR23" s="96">
        <f>E23*(J23+K23)/$A$5</f>
        <v>0</v>
      </c>
      <c r="AS23" s="96"/>
      <c r="AT23" s="96"/>
      <c r="AU23" s="96"/>
      <c r="AV23" s="104"/>
      <c r="AW23" s="99">
        <f t="shared" si="17"/>
        <v>24170000</v>
      </c>
      <c r="AX23" s="46">
        <f t="shared" si="6"/>
        <v>118000</v>
      </c>
      <c r="AY23" s="51">
        <v>468800</v>
      </c>
      <c r="AZ23" s="51">
        <v>87900</v>
      </c>
      <c r="BA23" s="51">
        <v>58600</v>
      </c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>
        <f t="shared" si="10"/>
        <v>733300</v>
      </c>
      <c r="BO23" s="51"/>
      <c r="BP23" s="51"/>
      <c r="BQ23" s="52">
        <f t="shared" si="7"/>
        <v>23436700</v>
      </c>
      <c r="BR23" s="51">
        <v>100000</v>
      </c>
      <c r="BS23" s="51">
        <v>21</v>
      </c>
      <c r="BT23" s="51">
        <f t="shared" si="8"/>
        <v>693000</v>
      </c>
      <c r="BU23" s="52">
        <f t="shared" si="9"/>
        <v>24229700</v>
      </c>
    </row>
    <row r="24" spans="1:73" s="27" customFormat="1" ht="48" customHeight="1">
      <c r="A24" s="17">
        <v>14</v>
      </c>
      <c r="B24" s="45" t="s">
        <v>44</v>
      </c>
      <c r="C24" s="44" t="s">
        <v>53</v>
      </c>
      <c r="D24" s="91">
        <v>9180000</v>
      </c>
      <c r="E24" s="91"/>
      <c r="F24" s="15">
        <v>6500000</v>
      </c>
      <c r="G24" s="16">
        <v>6140000</v>
      </c>
      <c r="H24" s="16"/>
      <c r="I24" s="90" t="s">
        <v>18</v>
      </c>
      <c r="J24" s="91">
        <v>21</v>
      </c>
      <c r="K24" s="91">
        <v>1</v>
      </c>
      <c r="L24" s="91">
        <v>0</v>
      </c>
      <c r="M24" s="91">
        <v>0</v>
      </c>
      <c r="N24" s="91"/>
      <c r="O24" s="91"/>
      <c r="P24" s="100">
        <v>46.25</v>
      </c>
      <c r="Q24" s="93"/>
      <c r="R24" s="93"/>
      <c r="S24" s="93">
        <v>0</v>
      </c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0">
        <f>ROUND(F24*(J24)/$A$5,-3)</f>
        <v>6205000</v>
      </c>
      <c r="AE24" s="95">
        <f>ROUND(IF(I24="A",(D24-F24)*(J24)/$A$5,IF(I24="B",(D24-F24)*0.5*(J24)/$A$5*$B$5,IF(I24="C",0))),-3)</f>
        <v>2558000</v>
      </c>
      <c r="AF24" s="96">
        <f t="shared" si="13"/>
        <v>279000</v>
      </c>
      <c r="AG24" s="96"/>
      <c r="AH24" s="96">
        <f t="shared" si="5"/>
        <v>0</v>
      </c>
      <c r="AI24" s="96">
        <f>ROUND(G24*(L24)/$A$5,-3)</f>
        <v>0</v>
      </c>
      <c r="AJ24" s="96">
        <f t="shared" si="15"/>
        <v>0</v>
      </c>
      <c r="AK24" s="97">
        <f t="shared" si="18"/>
        <v>14615000</v>
      </c>
      <c r="AL24" s="85">
        <f>ROUND((X24*39000+Z24*39000+AB24*39000),-3)</f>
        <v>0</v>
      </c>
      <c r="AM24" s="85">
        <f>ROUND((AC24*52000+AA24*48600+Y24*52000),-3)</f>
        <v>0</v>
      </c>
      <c r="AN24" s="85">
        <f>ROUND((T24*39000+V24*39000),-3)</f>
        <v>0</v>
      </c>
      <c r="AO24" s="85">
        <f t="shared" si="4"/>
        <v>0</v>
      </c>
      <c r="AP24" s="98">
        <f>ROUND((IF(I24="A",0,IF(I24="B",-(1330000)*50%,IF(I24="C",-(1330000)*100%))))*(J24)/$A$5,-3)</f>
        <v>0</v>
      </c>
      <c r="AQ24" s="101"/>
      <c r="AR24" s="96">
        <f>E24*(J24+K24)/$A$5</f>
        <v>0</v>
      </c>
      <c r="AS24" s="96"/>
      <c r="AT24" s="96"/>
      <c r="AU24" s="96"/>
      <c r="AV24" s="104"/>
      <c r="AW24" s="99">
        <f t="shared" si="17"/>
        <v>23657000</v>
      </c>
      <c r="AX24" s="46">
        <f t="shared" si="6"/>
        <v>115000</v>
      </c>
      <c r="AY24" s="51">
        <v>446400</v>
      </c>
      <c r="AZ24" s="51">
        <v>83700</v>
      </c>
      <c r="BA24" s="51">
        <v>55800</v>
      </c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2">
        <f t="shared" si="10"/>
        <v>700900</v>
      </c>
      <c r="BO24" s="51"/>
      <c r="BP24" s="51"/>
      <c r="BQ24" s="52">
        <f t="shared" si="7"/>
        <v>22956100</v>
      </c>
      <c r="BR24" s="51">
        <v>100000</v>
      </c>
      <c r="BS24" s="51">
        <v>21</v>
      </c>
      <c r="BT24" s="51">
        <f t="shared" si="8"/>
        <v>693000</v>
      </c>
      <c r="BU24" s="52">
        <f t="shared" si="9"/>
        <v>23749100</v>
      </c>
    </row>
    <row r="25" spans="1:73" s="27" customFormat="1" ht="48" customHeight="1">
      <c r="A25" s="17">
        <v>15</v>
      </c>
      <c r="B25" s="45" t="s">
        <v>51</v>
      </c>
      <c r="C25" s="44" t="s">
        <v>53</v>
      </c>
      <c r="D25" s="91">
        <v>9180000</v>
      </c>
      <c r="E25" s="91"/>
      <c r="F25" s="15">
        <v>6500000</v>
      </c>
      <c r="G25" s="16">
        <v>6140000</v>
      </c>
      <c r="H25" s="16"/>
      <c r="I25" s="90" t="s">
        <v>18</v>
      </c>
      <c r="J25" s="91">
        <v>21</v>
      </c>
      <c r="K25" s="91">
        <v>1</v>
      </c>
      <c r="L25" s="91">
        <v>0</v>
      </c>
      <c r="M25" s="91">
        <v>0</v>
      </c>
      <c r="N25" s="91"/>
      <c r="O25" s="91">
        <v>0</v>
      </c>
      <c r="P25" s="100">
        <v>46.5</v>
      </c>
      <c r="Q25" s="93"/>
      <c r="R25" s="93"/>
      <c r="S25" s="93">
        <v>0</v>
      </c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0">
        <f>ROUND(F25*(J25)/$A$5,-3)</f>
        <v>6205000</v>
      </c>
      <c r="AE25" s="95">
        <f>ROUND(IF(I25="A",(D25-F25)*(J25)/$A$5,IF(I25="B",(D25-F25)*0.5*(J25)/$A$5*$B$5,IF(I25="C",0))),-3)</f>
        <v>2558000</v>
      </c>
      <c r="AF25" s="96">
        <f t="shared" si="13"/>
        <v>279000</v>
      </c>
      <c r="AG25" s="96"/>
      <c r="AH25" s="96">
        <f t="shared" si="5"/>
        <v>0</v>
      </c>
      <c r="AI25" s="96">
        <f>ROUND(G25*(L25)/$A$5,-3)</f>
        <v>0</v>
      </c>
      <c r="AJ25" s="96">
        <f t="shared" si="15"/>
        <v>0</v>
      </c>
      <c r="AK25" s="97">
        <f t="shared" si="18"/>
        <v>14694000</v>
      </c>
      <c r="AL25" s="85">
        <f>ROUND((X25*39000+Z25*39000+AB25*39000),-3)</f>
        <v>0</v>
      </c>
      <c r="AM25" s="85">
        <f>ROUND((AC25*52000+AA25*48600+Y25*52000),-3)</f>
        <v>0</v>
      </c>
      <c r="AN25" s="85">
        <f>ROUND((T25*39000+V25*39000),-3)</f>
        <v>0</v>
      </c>
      <c r="AO25" s="85">
        <f t="shared" si="4"/>
        <v>0</v>
      </c>
      <c r="AP25" s="98">
        <f>ROUND((IF(I25="A",0,IF(I25="B",-(1330000)*50%,IF(I25="C",-(1330000)*100%))))*(J25)/$A$5,-3)</f>
        <v>0</v>
      </c>
      <c r="AQ25" s="102"/>
      <c r="AR25" s="96">
        <f>E25*(J25+K25)/$A$5</f>
        <v>0</v>
      </c>
      <c r="AS25" s="90"/>
      <c r="AT25" s="90"/>
      <c r="AU25" s="90"/>
      <c r="AV25" s="104"/>
      <c r="AW25" s="99">
        <f t="shared" si="17"/>
        <v>23736000</v>
      </c>
      <c r="AX25" s="46">
        <f t="shared" si="6"/>
        <v>116000</v>
      </c>
      <c r="AY25" s="51">
        <v>446400</v>
      </c>
      <c r="AZ25" s="51">
        <v>83700</v>
      </c>
      <c r="BA25" s="51">
        <v>55800</v>
      </c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>
        <f t="shared" si="10"/>
        <v>701900</v>
      </c>
      <c r="BO25" s="51"/>
      <c r="BP25" s="51"/>
      <c r="BQ25" s="52">
        <f t="shared" si="7"/>
        <v>23034100</v>
      </c>
      <c r="BR25" s="51">
        <v>100000</v>
      </c>
      <c r="BS25" s="51">
        <v>21</v>
      </c>
      <c r="BT25" s="51">
        <f t="shared" si="8"/>
        <v>693000</v>
      </c>
      <c r="BU25" s="52">
        <f t="shared" si="9"/>
        <v>23827100</v>
      </c>
    </row>
    <row r="26" spans="1:73" s="27" customFormat="1" ht="48" customHeight="1">
      <c r="A26" s="57">
        <v>16</v>
      </c>
      <c r="B26" s="58" t="s">
        <v>42</v>
      </c>
      <c r="C26" s="59" t="s">
        <v>21</v>
      </c>
      <c r="D26" s="105">
        <v>15440000</v>
      </c>
      <c r="E26" s="106"/>
      <c r="F26" s="107">
        <v>6500000</v>
      </c>
      <c r="G26" s="106">
        <v>7510000</v>
      </c>
      <c r="H26" s="106"/>
      <c r="I26" s="108" t="s">
        <v>18</v>
      </c>
      <c r="J26" s="109">
        <v>21</v>
      </c>
      <c r="K26" s="109">
        <v>1</v>
      </c>
      <c r="L26" s="109">
        <v>0</v>
      </c>
      <c r="M26" s="109">
        <v>0</v>
      </c>
      <c r="N26" s="109"/>
      <c r="O26" s="109">
        <v>0</v>
      </c>
      <c r="P26" s="110">
        <v>0</v>
      </c>
      <c r="Q26" s="111"/>
      <c r="R26" s="111"/>
      <c r="S26" s="111">
        <v>0</v>
      </c>
      <c r="T26" s="112">
        <v>100</v>
      </c>
      <c r="U26" s="112"/>
      <c r="V26" s="112">
        <v>0</v>
      </c>
      <c r="W26" s="112"/>
      <c r="X26" s="112"/>
      <c r="Y26" s="112"/>
      <c r="Z26" s="112">
        <v>30.400000000000006</v>
      </c>
      <c r="AA26" s="112"/>
      <c r="AB26" s="112">
        <v>2</v>
      </c>
      <c r="AC26" s="112"/>
      <c r="AD26" s="108">
        <f>ROUND(F26*(J26)/$A$5*$B$5,-3)</f>
        <v>6205000</v>
      </c>
      <c r="AE26" s="113">
        <f>ROUND(IF(I26="A",(D26-F26-4500000)*(J26)/$A$5*$B$5,IF(I26="B",(D26-F26-4500000)*0.5*(J26)/$A$5*$B$5,IF(I26="C",0))),-3)</f>
        <v>4238000</v>
      </c>
      <c r="AF26" s="114">
        <f t="shared" si="13"/>
        <v>341000</v>
      </c>
      <c r="AG26" s="114"/>
      <c r="AH26" s="114"/>
      <c r="AI26" s="114">
        <f>ROUND(G26*(L26)/$A$5,-3)</f>
        <v>0</v>
      </c>
      <c r="AJ26" s="115"/>
      <c r="AK26" s="116">
        <f t="shared" si="18"/>
        <v>0</v>
      </c>
      <c r="AL26" s="117">
        <f>ROUND((X26*43000+Z26*43000+AB26*43000),-3)</f>
        <v>1393000</v>
      </c>
      <c r="AM26" s="117">
        <f>ROUND((AC26*54000+AA26*54000+Y26*57000),-3)</f>
        <v>0</v>
      </c>
      <c r="AN26" s="117">
        <f>ROUND((T26*43000+V26*43000),-3)</f>
        <v>4300000</v>
      </c>
      <c r="AO26" s="117">
        <f t="shared" si="4"/>
        <v>0</v>
      </c>
      <c r="AP26" s="118">
        <f>ROUND((IF(I26="A",0,IF(I26="B",-(1330000)*50%,IF(I26="C",-(1330000)*100%))))*(J26)/$A$5,-3)</f>
        <v>0</v>
      </c>
      <c r="AQ26" s="119"/>
      <c r="AR26" s="114"/>
      <c r="AS26" s="114"/>
      <c r="AT26" s="114"/>
      <c r="AU26" s="114"/>
      <c r="AV26" s="114"/>
      <c r="AW26" s="120">
        <f t="shared" si="17"/>
        <v>16477000</v>
      </c>
      <c r="AX26" s="60">
        <f t="shared" si="6"/>
        <v>79000</v>
      </c>
      <c r="AY26" s="61">
        <v>546400</v>
      </c>
      <c r="AZ26" s="61">
        <v>102450</v>
      </c>
      <c r="BA26" s="61">
        <v>68300</v>
      </c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2">
        <f t="shared" si="10"/>
        <v>796150</v>
      </c>
      <c r="BO26" s="61"/>
      <c r="BP26" s="61"/>
      <c r="BQ26" s="62">
        <f t="shared" si="7"/>
        <v>15680850</v>
      </c>
      <c r="BR26" s="61">
        <v>100000</v>
      </c>
      <c r="BS26" s="61">
        <v>21</v>
      </c>
      <c r="BT26" s="61">
        <f t="shared" si="8"/>
        <v>693000</v>
      </c>
      <c r="BU26" s="62">
        <f t="shared" si="9"/>
        <v>16473850</v>
      </c>
    </row>
    <row r="27" spans="1:73" s="29" customFormat="1" ht="48" customHeight="1">
      <c r="A27" s="63"/>
      <c r="B27" s="63" t="s">
        <v>25</v>
      </c>
      <c r="C27" s="63"/>
      <c r="D27" s="121">
        <f t="shared" ref="D27:AW27" si="19">SUM(D11:D14)+SUM(D15:D26)</f>
        <v>225510000</v>
      </c>
      <c r="E27" s="121">
        <f t="shared" si="19"/>
        <v>1470000</v>
      </c>
      <c r="F27" s="121">
        <f t="shared" si="19"/>
        <v>104000000</v>
      </c>
      <c r="G27" s="121">
        <f t="shared" si="19"/>
        <v>115170000</v>
      </c>
      <c r="H27" s="121">
        <f t="shared" si="19"/>
        <v>1470000</v>
      </c>
      <c r="I27" s="121">
        <f t="shared" si="19"/>
        <v>0</v>
      </c>
      <c r="J27" s="121">
        <f t="shared" si="19"/>
        <v>315</v>
      </c>
      <c r="K27" s="121">
        <f t="shared" si="19"/>
        <v>16</v>
      </c>
      <c r="L27" s="121">
        <f t="shared" si="19"/>
        <v>21</v>
      </c>
      <c r="M27" s="121">
        <f t="shared" si="19"/>
        <v>0</v>
      </c>
      <c r="N27" s="121">
        <f t="shared" si="19"/>
        <v>0</v>
      </c>
      <c r="O27" s="121">
        <f t="shared" si="19"/>
        <v>0</v>
      </c>
      <c r="P27" s="122">
        <f t="shared" si="19"/>
        <v>261.25</v>
      </c>
      <c r="Q27" s="121">
        <f t="shared" si="19"/>
        <v>0</v>
      </c>
      <c r="R27" s="121">
        <f t="shared" si="19"/>
        <v>0</v>
      </c>
      <c r="S27" s="121">
        <f t="shared" si="19"/>
        <v>0</v>
      </c>
      <c r="T27" s="121">
        <f t="shared" si="19"/>
        <v>710</v>
      </c>
      <c r="U27" s="121">
        <f t="shared" si="19"/>
        <v>0</v>
      </c>
      <c r="V27" s="121">
        <f t="shared" si="19"/>
        <v>240</v>
      </c>
      <c r="W27" s="121">
        <f t="shared" si="19"/>
        <v>0</v>
      </c>
      <c r="X27" s="121">
        <f t="shared" si="19"/>
        <v>54.3</v>
      </c>
      <c r="Y27" s="121">
        <f t="shared" si="19"/>
        <v>0</v>
      </c>
      <c r="Z27" s="121">
        <f t="shared" si="19"/>
        <v>69.433333333333337</v>
      </c>
      <c r="AA27" s="121">
        <f t="shared" si="19"/>
        <v>0</v>
      </c>
      <c r="AB27" s="121">
        <f t="shared" si="19"/>
        <v>184.86666666666667</v>
      </c>
      <c r="AC27" s="121">
        <f t="shared" si="19"/>
        <v>15</v>
      </c>
      <c r="AD27" s="121">
        <f t="shared" si="19"/>
        <v>93370000</v>
      </c>
      <c r="AE27" s="121">
        <f t="shared" si="19"/>
        <v>59860000</v>
      </c>
      <c r="AF27" s="121">
        <f t="shared" si="19"/>
        <v>4783000</v>
      </c>
      <c r="AG27" s="121">
        <f t="shared" si="19"/>
        <v>0</v>
      </c>
      <c r="AH27" s="121">
        <f t="shared" si="19"/>
        <v>0</v>
      </c>
      <c r="AI27" s="121">
        <f t="shared" si="19"/>
        <v>6491000</v>
      </c>
      <c r="AJ27" s="121">
        <f t="shared" si="19"/>
        <v>0</v>
      </c>
      <c r="AK27" s="121">
        <f t="shared" si="19"/>
        <v>82555000</v>
      </c>
      <c r="AL27" s="121">
        <f t="shared" si="19"/>
        <v>13270000</v>
      </c>
      <c r="AM27" s="121">
        <f t="shared" si="19"/>
        <v>810000</v>
      </c>
      <c r="AN27" s="121">
        <f t="shared" si="19"/>
        <v>40850000</v>
      </c>
      <c r="AO27" s="121">
        <f t="shared" si="19"/>
        <v>0</v>
      </c>
      <c r="AP27" s="121">
        <f t="shared" si="19"/>
        <v>0</v>
      </c>
      <c r="AQ27" s="121">
        <f t="shared" si="19"/>
        <v>1470000</v>
      </c>
      <c r="AR27" s="121">
        <f t="shared" si="19"/>
        <v>0</v>
      </c>
      <c r="AS27" s="121">
        <f t="shared" si="19"/>
        <v>31100000</v>
      </c>
      <c r="AT27" s="121">
        <f t="shared" si="19"/>
        <v>0</v>
      </c>
      <c r="AU27" s="121">
        <f t="shared" si="19"/>
        <v>0</v>
      </c>
      <c r="AV27" s="121">
        <f t="shared" si="19"/>
        <v>0</v>
      </c>
      <c r="AW27" s="121">
        <f t="shared" si="19"/>
        <v>334559000</v>
      </c>
      <c r="AX27" s="121">
        <f t="shared" ref="AX27:BU27" si="20">SUM(AX11:AX14)+SUM(AX15:AX26)</f>
        <v>1616000</v>
      </c>
      <c r="AY27" s="121">
        <f t="shared" si="20"/>
        <v>8493600</v>
      </c>
      <c r="AZ27" s="121">
        <f t="shared" si="20"/>
        <v>1592550</v>
      </c>
      <c r="BA27" s="121">
        <f t="shared" si="20"/>
        <v>1061700</v>
      </c>
      <c r="BB27" s="121">
        <f t="shared" si="20"/>
        <v>0</v>
      </c>
      <c r="BC27" s="121">
        <f t="shared" si="20"/>
        <v>0</v>
      </c>
      <c r="BD27" s="121">
        <f t="shared" si="20"/>
        <v>0</v>
      </c>
      <c r="BE27" s="121">
        <f t="shared" si="20"/>
        <v>0</v>
      </c>
      <c r="BF27" s="121">
        <f t="shared" si="20"/>
        <v>0</v>
      </c>
      <c r="BG27" s="121">
        <f t="shared" si="20"/>
        <v>0</v>
      </c>
      <c r="BH27" s="121">
        <f t="shared" si="20"/>
        <v>0</v>
      </c>
      <c r="BI27" s="121">
        <f t="shared" si="20"/>
        <v>0</v>
      </c>
      <c r="BJ27" s="121">
        <f t="shared" si="20"/>
        <v>2022000</v>
      </c>
      <c r="BK27" s="121">
        <f t="shared" si="20"/>
        <v>0</v>
      </c>
      <c r="BL27" s="121">
        <f t="shared" si="20"/>
        <v>0</v>
      </c>
      <c r="BM27" s="121">
        <f t="shared" si="20"/>
        <v>0</v>
      </c>
      <c r="BN27" s="121">
        <f t="shared" si="20"/>
        <v>14785850</v>
      </c>
      <c r="BO27" s="121">
        <f t="shared" si="20"/>
        <v>160000</v>
      </c>
      <c r="BP27" s="121">
        <f t="shared" si="20"/>
        <v>0</v>
      </c>
      <c r="BQ27" s="121">
        <f t="shared" si="20"/>
        <v>319933150</v>
      </c>
      <c r="BR27" s="121">
        <f t="shared" si="20"/>
        <v>1600000</v>
      </c>
      <c r="BS27" s="121">
        <f t="shared" si="20"/>
        <v>336</v>
      </c>
      <c r="BT27" s="121">
        <f t="shared" si="20"/>
        <v>11088000</v>
      </c>
      <c r="BU27" s="121">
        <f t="shared" si="20"/>
        <v>332621150</v>
      </c>
    </row>
    <row r="28" spans="1:73" ht="6" customHeight="1">
      <c r="A28" s="10"/>
      <c r="B28" s="10"/>
      <c r="C28" s="10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4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5"/>
      <c r="BJ28" s="12"/>
      <c r="BK28" s="12"/>
      <c r="BL28" s="12"/>
      <c r="BM28" s="12"/>
      <c r="BN28" s="12"/>
      <c r="BO28" s="12"/>
      <c r="BP28" s="12"/>
      <c r="BQ28" s="125"/>
      <c r="BR28" s="12"/>
      <c r="BS28" s="12"/>
      <c r="BT28" s="12"/>
      <c r="BU28" s="12"/>
    </row>
    <row r="29" spans="1:73">
      <c r="D29" s="126"/>
      <c r="E29" s="126"/>
      <c r="F29" s="126"/>
      <c r="G29" s="126"/>
      <c r="H29" s="126"/>
      <c r="I29" s="127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30"/>
      <c r="AR29" s="126"/>
      <c r="AS29" s="126"/>
      <c r="AT29" s="126"/>
      <c r="AU29" s="126"/>
      <c r="AV29" s="126"/>
      <c r="AW29" s="128"/>
      <c r="AX29" s="131"/>
      <c r="AY29" s="131"/>
      <c r="AZ29" s="131"/>
      <c r="BA29" s="131"/>
      <c r="BB29" s="131"/>
      <c r="BC29" s="131"/>
      <c r="BD29" s="131"/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  <c r="BO29" s="131"/>
      <c r="BP29" s="131"/>
      <c r="BQ29" s="132">
        <f>BQ27+BN27-BO27</f>
        <v>334559000</v>
      </c>
      <c r="BR29" s="131"/>
      <c r="BS29" s="131"/>
      <c r="BT29" s="131"/>
      <c r="BU29" s="131"/>
    </row>
    <row r="40" spans="74:75">
      <c r="BV40" s="34"/>
      <c r="BW40" s="34"/>
    </row>
    <row r="41" spans="74:75">
      <c r="BV41" s="34"/>
      <c r="BW41" s="34"/>
    </row>
    <row r="42" spans="74:75">
      <c r="BV42" s="34"/>
      <c r="BW42" s="34"/>
    </row>
    <row r="43" spans="74:75">
      <c r="BV43" s="34"/>
      <c r="BW43" s="34"/>
    </row>
    <row r="44" spans="74:75">
      <c r="BV44" s="34"/>
      <c r="BW44" s="34"/>
    </row>
    <row r="45" spans="74:75">
      <c r="BV45" s="34"/>
      <c r="BW45" s="34"/>
    </row>
    <row r="46" spans="74:75">
      <c r="BV46" s="34"/>
      <c r="BW46" s="34"/>
    </row>
    <row r="47" spans="74:75">
      <c r="BV47" s="34"/>
      <c r="BW47" s="34"/>
    </row>
    <row r="48" spans="74:75">
      <c r="BV48" s="34"/>
      <c r="BW48" s="34"/>
    </row>
    <row r="54" spans="1:75" s="34" customFormat="1">
      <c r="A54" s="30"/>
      <c r="B54" s="24"/>
      <c r="C54" s="24"/>
      <c r="D54" s="24"/>
      <c r="E54" s="24"/>
      <c r="F54" s="24"/>
      <c r="G54" s="24"/>
      <c r="H54" s="24"/>
      <c r="I54" s="31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33"/>
      <c r="AR54" s="24"/>
      <c r="AW54" s="35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4"/>
      <c r="BW54" s="24"/>
    </row>
    <row r="55" spans="1:75" s="34" customFormat="1">
      <c r="A55" s="30"/>
      <c r="B55" s="24"/>
      <c r="C55" s="24"/>
      <c r="D55" s="24"/>
      <c r="E55" s="24"/>
      <c r="F55" s="24"/>
      <c r="G55" s="24"/>
      <c r="H55" s="24"/>
      <c r="I55" s="31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33"/>
      <c r="AR55" s="24"/>
      <c r="AW55" s="35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4"/>
      <c r="BW55" s="24"/>
    </row>
    <row r="56" spans="1:75" s="34" customFormat="1">
      <c r="A56" s="30"/>
      <c r="B56" s="24"/>
      <c r="C56" s="24"/>
      <c r="D56" s="24"/>
      <c r="E56" s="24"/>
      <c r="F56" s="24"/>
      <c r="G56" s="24"/>
      <c r="H56" s="24"/>
      <c r="I56" s="31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33"/>
      <c r="AR56" s="24"/>
      <c r="AW56" s="35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4"/>
      <c r="BW56" s="24"/>
    </row>
    <row r="57" spans="1:75" s="34" customFormat="1">
      <c r="A57" s="30"/>
      <c r="B57" s="24"/>
      <c r="C57" s="24"/>
      <c r="D57" s="24"/>
      <c r="E57" s="24"/>
      <c r="F57" s="24"/>
      <c r="G57" s="24"/>
      <c r="H57" s="24"/>
      <c r="I57" s="31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33"/>
      <c r="AR57" s="24"/>
      <c r="AW57" s="35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4"/>
      <c r="BW57" s="24"/>
    </row>
    <row r="58" spans="1:75" s="34" customFormat="1">
      <c r="A58" s="30"/>
      <c r="B58" s="24"/>
      <c r="C58" s="24"/>
      <c r="D58" s="24"/>
      <c r="E58" s="24"/>
      <c r="F58" s="24"/>
      <c r="G58" s="24"/>
      <c r="H58" s="24"/>
      <c r="I58" s="31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33"/>
      <c r="AR58" s="24"/>
      <c r="AW58" s="35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4"/>
      <c r="BW58" s="24"/>
    </row>
    <row r="59" spans="1:75" s="34" customFormat="1">
      <c r="A59" s="30"/>
      <c r="B59" s="24"/>
      <c r="C59" s="24"/>
      <c r="D59" s="24"/>
      <c r="E59" s="24"/>
      <c r="F59" s="24"/>
      <c r="G59" s="24"/>
      <c r="H59" s="24"/>
      <c r="I59" s="31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33"/>
      <c r="AR59" s="24"/>
      <c r="AW59" s="35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4"/>
      <c r="BW59" s="24"/>
    </row>
    <row r="60" spans="1:75" s="34" customFormat="1">
      <c r="A60" s="30"/>
      <c r="B60" s="24"/>
      <c r="C60" s="24"/>
      <c r="D60" s="24"/>
      <c r="E60" s="24"/>
      <c r="F60" s="24"/>
      <c r="G60" s="24"/>
      <c r="H60" s="24"/>
      <c r="I60" s="31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33"/>
      <c r="AR60" s="24"/>
      <c r="AW60" s="35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4"/>
      <c r="BW60" s="24"/>
    </row>
    <row r="61" spans="1:75" s="34" customFormat="1">
      <c r="A61" s="30"/>
      <c r="B61" s="24"/>
      <c r="C61" s="24"/>
      <c r="D61" s="24"/>
      <c r="E61" s="24"/>
      <c r="F61" s="24"/>
      <c r="G61" s="24"/>
      <c r="H61" s="24"/>
      <c r="I61" s="31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33"/>
      <c r="AR61" s="24"/>
      <c r="AW61" s="35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4"/>
      <c r="BW61" s="24"/>
    </row>
    <row r="62" spans="1:75" s="34" customFormat="1">
      <c r="A62" s="30"/>
      <c r="B62" s="24"/>
      <c r="C62" s="24"/>
      <c r="D62" s="24"/>
      <c r="E62" s="24"/>
      <c r="F62" s="24"/>
      <c r="G62" s="24"/>
      <c r="H62" s="24"/>
      <c r="I62" s="31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33"/>
      <c r="AR62" s="24"/>
      <c r="AW62" s="35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4"/>
      <c r="BW62" s="24"/>
    </row>
  </sheetData>
  <mergeCells count="77">
    <mergeCell ref="BT6:BT9"/>
    <mergeCell ref="BU6:BU9"/>
    <mergeCell ref="BA7:BA9"/>
    <mergeCell ref="BB7:BB9"/>
    <mergeCell ref="BC7:BC9"/>
    <mergeCell ref="BD7:BD9"/>
    <mergeCell ref="BE7:BE9"/>
    <mergeCell ref="BF7:BF9"/>
    <mergeCell ref="BG7:BG9"/>
    <mergeCell ref="BH7:BH9"/>
    <mergeCell ref="AX6:BN6"/>
    <mergeCell ref="BO6:BO9"/>
    <mergeCell ref="BP6:BP9"/>
    <mergeCell ref="BQ6:BQ9"/>
    <mergeCell ref="BR6:BR9"/>
    <mergeCell ref="BS6:BS9"/>
    <mergeCell ref="BN7:BN9"/>
    <mergeCell ref="AX7:AX9"/>
    <mergeCell ref="AY7:AY9"/>
    <mergeCell ref="AZ7:AZ9"/>
    <mergeCell ref="AW6:AW9"/>
    <mergeCell ref="BI7:BI9"/>
    <mergeCell ref="BJ7:BJ9"/>
    <mergeCell ref="BK7:BK9"/>
    <mergeCell ref="BL7:BL9"/>
    <mergeCell ref="BM7:BM9"/>
    <mergeCell ref="N8:N9"/>
    <mergeCell ref="O8:O9"/>
    <mergeCell ref="P8:Q8"/>
    <mergeCell ref="R8:R9"/>
    <mergeCell ref="S8:S9"/>
    <mergeCell ref="J8:J9"/>
    <mergeCell ref="K8:K9"/>
    <mergeCell ref="L8:L9"/>
    <mergeCell ref="T8:U8"/>
    <mergeCell ref="AQ7:AV7"/>
    <mergeCell ref="AF8:AF9"/>
    <mergeCell ref="AG8:AG9"/>
    <mergeCell ref="AH8:AH9"/>
    <mergeCell ref="AI8:AI9"/>
    <mergeCell ref="AJ8:AJ9"/>
    <mergeCell ref="AU8:AU9"/>
    <mergeCell ref="AV8:AV9"/>
    <mergeCell ref="AL8:AM8"/>
    <mergeCell ref="AN8:AO8"/>
    <mergeCell ref="AQ8:AQ9"/>
    <mergeCell ref="AR8:AR9"/>
    <mergeCell ref="AD6:AV6"/>
    <mergeCell ref="T7:W7"/>
    <mergeCell ref="X7:AC7"/>
    <mergeCell ref="AD7:AN7"/>
    <mergeCell ref="AP7:AP9"/>
    <mergeCell ref="AS8:AS9"/>
    <mergeCell ref="AT8:AT9"/>
    <mergeCell ref="AK8:AK9"/>
    <mergeCell ref="V8:W8"/>
    <mergeCell ref="X8:Y8"/>
    <mergeCell ref="Z8:AA8"/>
    <mergeCell ref="AB8:AC8"/>
    <mergeCell ref="AD8:AD9"/>
    <mergeCell ref="AE8:AE9"/>
    <mergeCell ref="A3:AC3"/>
    <mergeCell ref="A4:AC4"/>
    <mergeCell ref="A6:A9"/>
    <mergeCell ref="B6:B9"/>
    <mergeCell ref="C6:C9"/>
    <mergeCell ref="D6:D9"/>
    <mergeCell ref="E6:E9"/>
    <mergeCell ref="F6:F9"/>
    <mergeCell ref="G6:H7"/>
    <mergeCell ref="I6:I9"/>
    <mergeCell ref="M8:M9"/>
    <mergeCell ref="J6:Q7"/>
    <mergeCell ref="R6:S7"/>
    <mergeCell ref="T6:AC6"/>
    <mergeCell ref="G8:G9"/>
    <mergeCell ref="H8:H9"/>
  </mergeCells>
  <pageMargins left="0.23622047244094491" right="0.23622047244094491" top="0.74803149606299213" bottom="0.74803149606299213" header="0.31496062992125984" footer="0.31496062992125984"/>
  <pageSetup paperSize="8" scale="47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T01,26</vt:lpstr>
      <vt:lpstr>'T01,26'!Print_Area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2026-02-25T14:18:38Z</dcterms:modified>
</cp:coreProperties>
</file>