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E9647D2B-C1C0-4009-A23B-FFEAB4E063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11.25" sheetId="53" r:id="rId1"/>
  </sheets>
  <externalReferences>
    <externalReference r:id="rId2"/>
  </externalReferences>
  <definedNames>
    <definedName name="_xlnm.Print_Area" localSheetId="0">'T11.25'!$A$1:$CD$27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27" i="53" l="1"/>
  <c r="BH27" i="53"/>
  <c r="BI27" i="53"/>
  <c r="BJ27" i="53"/>
  <c r="BK27" i="53"/>
  <c r="BL27" i="53"/>
  <c r="BM27" i="53"/>
  <c r="BN27" i="53"/>
  <c r="BO27" i="53"/>
  <c r="BP27" i="53"/>
  <c r="BQ27" i="53"/>
  <c r="BR27" i="53"/>
  <c r="BS27" i="53"/>
  <c r="BT27" i="53"/>
  <c r="BU27" i="53"/>
  <c r="BV27" i="53"/>
  <c r="BW27" i="53"/>
  <c r="BX27" i="53"/>
  <c r="BY27" i="53"/>
  <c r="BZ27" i="53"/>
  <c r="CA27" i="53"/>
  <c r="CB27" i="53"/>
  <c r="CC27" i="53"/>
  <c r="BD27" i="53"/>
  <c r="BE27" i="53"/>
  <c r="BF27" i="53"/>
  <c r="CC23" i="53"/>
  <c r="CB26" i="53"/>
  <c r="CC26" i="53" s="1"/>
  <c r="CB25" i="53"/>
  <c r="CC25" i="53" s="1"/>
  <c r="CC24" i="53"/>
  <c r="CB24" i="53"/>
  <c r="CB22" i="53"/>
  <c r="CC22" i="53" s="1"/>
  <c r="CB21" i="53"/>
  <c r="CC21" i="53" s="1"/>
  <c r="CB20" i="53"/>
  <c r="CC20" i="53" s="1"/>
  <c r="CB19" i="53"/>
  <c r="CC19" i="53" s="1"/>
  <c r="CB18" i="53"/>
  <c r="CC18" i="53" s="1"/>
  <c r="CB17" i="53"/>
  <c r="CC17" i="53" s="1"/>
  <c r="CB16" i="53"/>
  <c r="CC16" i="53" s="1"/>
  <c r="CB15" i="53"/>
  <c r="CC15" i="53" s="1"/>
  <c r="CB14" i="53"/>
  <c r="CC14" i="53" s="1"/>
  <c r="CB13" i="53"/>
  <c r="CC13" i="53" s="1"/>
  <c r="CB12" i="53"/>
  <c r="CC12" i="53" s="1"/>
  <c r="CC11" i="53"/>
  <c r="CB11" i="53"/>
  <c r="AZ27" i="53"/>
  <c r="AM27" i="53"/>
  <c r="R27" i="53"/>
  <c r="Q27" i="53"/>
  <c r="H27" i="53"/>
  <c r="G27" i="53"/>
  <c r="F27" i="53"/>
  <c r="E27" i="53"/>
  <c r="D27" i="53"/>
  <c r="AX26" i="53"/>
  <c r="AW26" i="53"/>
  <c r="AV26" i="53"/>
  <c r="AU26" i="53"/>
  <c r="AT26" i="53"/>
  <c r="AS26" i="53"/>
  <c r="AR26" i="53"/>
  <c r="AQ26" i="53"/>
  <c r="AP26" i="53"/>
  <c r="AN26" i="53"/>
  <c r="AO26" i="53"/>
  <c r="AL26" i="53"/>
  <c r="AY26" i="53"/>
  <c r="BB25" i="53"/>
  <c r="AX25" i="53"/>
  <c r="AW25" i="53"/>
  <c r="AV25" i="53"/>
  <c r="AU25" i="53"/>
  <c r="AT25" i="53"/>
  <c r="AS25" i="53"/>
  <c r="AR25" i="53"/>
  <c r="AP25" i="53"/>
  <c r="AK25" i="53"/>
  <c r="AJ25" i="53"/>
  <c r="AQ25" i="53"/>
  <c r="AN25" i="53"/>
  <c r="AO25" i="53"/>
  <c r="AL25" i="53"/>
  <c r="AY25" i="53"/>
  <c r="AX24" i="53"/>
  <c r="AW24" i="53"/>
  <c r="AV24" i="53"/>
  <c r="AU24" i="53"/>
  <c r="AT24" i="53"/>
  <c r="AS24" i="53"/>
  <c r="AR24" i="53"/>
  <c r="AP24" i="53"/>
  <c r="AO24" i="53"/>
  <c r="AL24" i="53"/>
  <c r="AQ24" i="53"/>
  <c r="AN24" i="53"/>
  <c r="BA24" i="53"/>
  <c r="AJ23" i="53"/>
  <c r="AT23" i="53"/>
  <c r="AQ23" i="53"/>
  <c r="AP23" i="53"/>
  <c r="AN23" i="53"/>
  <c r="AL23" i="53"/>
  <c r="AK23" i="53"/>
  <c r="BC22" i="53"/>
  <c r="AR22" i="53"/>
  <c r="AP22" i="53"/>
  <c r="AV22" i="53"/>
  <c r="AU22" i="53"/>
  <c r="AQ22" i="53"/>
  <c r="AN22" i="53"/>
  <c r="AO22" i="53"/>
  <c r="AL22" i="53"/>
  <c r="AJ22" i="53"/>
  <c r="AR21" i="53"/>
  <c r="AP21" i="53"/>
  <c r="AS21" i="53"/>
  <c r="AX21" i="53"/>
  <c r="AW21" i="53"/>
  <c r="AQ21" i="53"/>
  <c r="AN21" i="53"/>
  <c r="AO21" i="53"/>
  <c r="AL21" i="53"/>
  <c r="BA21" i="53"/>
  <c r="AY21" i="53"/>
  <c r="BC20" i="53"/>
  <c r="AY20" i="53"/>
  <c r="AR20" i="53"/>
  <c r="AP20" i="53"/>
  <c r="AO20" i="53"/>
  <c r="AW20" i="53"/>
  <c r="AQ20" i="53"/>
  <c r="AN20" i="53"/>
  <c r="AL20" i="53"/>
  <c r="BC19" i="53"/>
  <c r="BB19" i="53"/>
  <c r="AR19" i="53"/>
  <c r="AP19" i="53"/>
  <c r="AN19" i="53"/>
  <c r="AT19" i="53"/>
  <c r="AV19" i="53"/>
  <c r="AU19" i="53"/>
  <c r="AX19" i="53"/>
  <c r="AW19" i="53"/>
  <c r="AQ19" i="53"/>
  <c r="AO19" i="53"/>
  <c r="AL19" i="53"/>
  <c r="AY19" i="53"/>
  <c r="BB18" i="53"/>
  <c r="AW18" i="53"/>
  <c r="AR18" i="53"/>
  <c r="AP18" i="53"/>
  <c r="AT18" i="53"/>
  <c r="AS18" i="53"/>
  <c r="AU18" i="53"/>
  <c r="AX18" i="53"/>
  <c r="AQ18" i="53"/>
  <c r="AN18" i="53"/>
  <c r="AO18" i="53"/>
  <c r="AL18" i="53"/>
  <c r="AK18" i="53"/>
  <c r="BB17" i="53"/>
  <c r="AR17" i="53"/>
  <c r="AP17" i="53"/>
  <c r="AN17" i="53"/>
  <c r="AT17" i="53"/>
  <c r="AV17" i="53"/>
  <c r="AU17" i="53"/>
  <c r="AX17" i="53"/>
  <c r="AW17" i="53"/>
  <c r="AQ17" i="53"/>
  <c r="AO17" i="53"/>
  <c r="AL17" i="53"/>
  <c r="AJ17" i="53"/>
  <c r="AK17" i="53"/>
  <c r="AY16" i="53"/>
  <c r="AQ16" i="53"/>
  <c r="AO16" i="53"/>
  <c r="AL16" i="53"/>
  <c r="AJ16" i="53"/>
  <c r="AK16" i="53"/>
  <c r="AR15" i="53"/>
  <c r="AP15" i="53"/>
  <c r="AJ15" i="53"/>
  <c r="AT15" i="53"/>
  <c r="AS15" i="53"/>
  <c r="AV15" i="53"/>
  <c r="AU15" i="53"/>
  <c r="AW15" i="53"/>
  <c r="AQ15" i="53"/>
  <c r="AN15" i="53"/>
  <c r="AO15" i="53"/>
  <c r="AL15" i="53"/>
  <c r="AY15" i="53"/>
  <c r="AR14" i="53"/>
  <c r="AP14" i="53"/>
  <c r="AN14" i="53"/>
  <c r="AT14" i="53"/>
  <c r="V27" i="53"/>
  <c r="AX14" i="53"/>
  <c r="AW14" i="53"/>
  <c r="AQ14" i="53"/>
  <c r="AO14" i="53"/>
  <c r="AL14" i="53"/>
  <c r="AY14" i="53"/>
  <c r="AR13" i="53"/>
  <c r="AP13" i="53"/>
  <c r="AS13" i="53"/>
  <c r="AV13" i="53"/>
  <c r="AU13" i="53"/>
  <c r="AX13" i="53"/>
  <c r="AW13" i="53"/>
  <c r="AQ13" i="53"/>
  <c r="AN13" i="53"/>
  <c r="AO13" i="53"/>
  <c r="AL13" i="53"/>
  <c r="AJ13" i="53"/>
  <c r="AY13" i="53"/>
  <c r="AR12" i="53"/>
  <c r="AP12" i="53"/>
  <c r="AT12" i="53"/>
  <c r="AA27" i="53"/>
  <c r="AU12" i="53"/>
  <c r="AX12" i="53"/>
  <c r="AW12" i="53"/>
  <c r="AQ12" i="53"/>
  <c r="AN12" i="53"/>
  <c r="AO12" i="53"/>
  <c r="AL12" i="53"/>
  <c r="AJ12" i="53"/>
  <c r="AX11" i="53"/>
  <c r="AW11" i="53"/>
  <c r="AR11" i="53"/>
  <c r="AP11" i="53"/>
  <c r="AJ11" i="53"/>
  <c r="AI27" i="53"/>
  <c r="AU11" i="53"/>
  <c r="L27" i="53"/>
  <c r="AK11" i="53"/>
  <c r="AN27" i="53" l="1"/>
  <c r="AB27" i="53"/>
  <c r="AX15" i="53"/>
  <c r="AK19" i="53"/>
  <c r="AV20" i="53"/>
  <c r="BA20" i="53"/>
  <c r="AY24" i="53"/>
  <c r="AC27" i="53"/>
  <c r="AV12" i="53"/>
  <c r="AS14" i="53"/>
  <c r="AS20" i="53"/>
  <c r="I27" i="53"/>
  <c r="AO11" i="53"/>
  <c r="AO27" i="53" s="1"/>
  <c r="AD27" i="53"/>
  <c r="AU21" i="53"/>
  <c r="AW22" i="53"/>
  <c r="AS22" i="53"/>
  <c r="N27" i="53"/>
  <c r="J27" i="53"/>
  <c r="AP27" i="53"/>
  <c r="AE27" i="53"/>
  <c r="AS16" i="53"/>
  <c r="AX22" i="53"/>
  <c r="AT22" i="53"/>
  <c r="K27" i="53"/>
  <c r="AR27" i="53"/>
  <c r="AS12" i="53"/>
  <c r="W27" i="53"/>
  <c r="BA15" i="53"/>
  <c r="AT16" i="53"/>
  <c r="BB27" i="53"/>
  <c r="BA19" i="53"/>
  <c r="AX20" i="53"/>
  <c r="AT20" i="53"/>
  <c r="AS23" i="53"/>
  <c r="AS11" i="53"/>
  <c r="AU14" i="53"/>
  <c r="BA18" i="53"/>
  <c r="Y27" i="53"/>
  <c r="BC27" i="53"/>
  <c r="AK22" i="53"/>
  <c r="O27" i="53"/>
  <c r="AS17" i="53"/>
  <c r="AS19" i="53"/>
  <c r="AK20" i="53"/>
  <c r="AU20" i="53"/>
  <c r="AJ20" i="53"/>
  <c r="AV21" i="53"/>
  <c r="AJ24" i="53"/>
  <c r="P27" i="53"/>
  <c r="X27" i="53"/>
  <c r="Z27" i="53"/>
  <c r="S27" i="53"/>
  <c r="AT13" i="53"/>
  <c r="AT21" i="53"/>
  <c r="AY22" i="53"/>
  <c r="AH27" i="53"/>
  <c r="AK12" i="53"/>
  <c r="AV14" i="53"/>
  <c r="BA25" i="53"/>
  <c r="BF25" i="53" s="1"/>
  <c r="BG25" i="53" s="1"/>
  <c r="BW25" i="53" s="1"/>
  <c r="BZ25" i="53" s="1"/>
  <c r="CD25" i="53" s="1"/>
  <c r="AL27" i="53"/>
  <c r="AW27" i="53"/>
  <c r="AY12" i="53"/>
  <c r="AJ14" i="53"/>
  <c r="AY17" i="53"/>
  <c r="M27" i="53"/>
  <c r="AK14" i="53"/>
  <c r="AT11" i="53"/>
  <c r="AK15" i="53"/>
  <c r="AJ21" i="53"/>
  <c r="BA22" i="53"/>
  <c r="AJ26" i="53"/>
  <c r="AK21" i="53"/>
  <c r="AK26" i="53"/>
  <c r="T27" i="53"/>
  <c r="AF27" i="53"/>
  <c r="AV11" i="53"/>
  <c r="AY23" i="53"/>
  <c r="U27" i="53"/>
  <c r="AG27" i="53"/>
  <c r="AY18" i="53"/>
  <c r="AK13" i="53"/>
  <c r="AJ19" i="53"/>
  <c r="AK24" i="53"/>
  <c r="BA26" i="53"/>
  <c r="AV18" i="53"/>
  <c r="AJ18" i="53"/>
  <c r="AQ11" i="53"/>
  <c r="AQ27" i="53" s="1"/>
  <c r="BF17" i="53" l="1"/>
  <c r="BG17" i="53" s="1"/>
  <c r="BW17" i="53" s="1"/>
  <c r="BZ17" i="53" s="1"/>
  <c r="CD17" i="53" s="1"/>
  <c r="BF19" i="53"/>
  <c r="BG19" i="53" s="1"/>
  <c r="BW19" i="53" s="1"/>
  <c r="BZ19" i="53" s="1"/>
  <c r="CD19" i="53" s="1"/>
  <c r="AS27" i="53"/>
  <c r="AU27" i="53"/>
  <c r="BF16" i="53"/>
  <c r="BG16" i="53" s="1"/>
  <c r="BW16" i="53" s="1"/>
  <c r="BZ16" i="53" s="1"/>
  <c r="CD16" i="53" s="1"/>
  <c r="BF20" i="53"/>
  <c r="BG20" i="53" s="1"/>
  <c r="BW20" i="53" s="1"/>
  <c r="BZ20" i="53" s="1"/>
  <c r="CD20" i="53" s="1"/>
  <c r="AX27" i="53"/>
  <c r="BF22" i="53"/>
  <c r="BG22" i="53" s="1"/>
  <c r="BW22" i="53" s="1"/>
  <c r="BZ22" i="53" s="1"/>
  <c r="CD22" i="53" s="1"/>
  <c r="BF12" i="53"/>
  <c r="BG12" i="53" s="1"/>
  <c r="BW12" i="53" s="1"/>
  <c r="BZ12" i="53" s="1"/>
  <c r="CD12" i="53" s="1"/>
  <c r="AV27" i="53"/>
  <c r="AT27" i="53"/>
  <c r="BF15" i="53"/>
  <c r="BG15" i="53" s="1"/>
  <c r="BW15" i="53" s="1"/>
  <c r="BZ15" i="53" s="1"/>
  <c r="CD15" i="53" s="1"/>
  <c r="BF23" i="53"/>
  <c r="BF11" i="53"/>
  <c r="BF24" i="53"/>
  <c r="BG24" i="53" s="1"/>
  <c r="BW24" i="53" s="1"/>
  <c r="BZ24" i="53" s="1"/>
  <c r="CD24" i="53" s="1"/>
  <c r="BF13" i="53"/>
  <c r="BG13" i="53" s="1"/>
  <c r="BW13" i="53" s="1"/>
  <c r="BZ13" i="53" s="1"/>
  <c r="CD13" i="53" s="1"/>
  <c r="AK27" i="53"/>
  <c r="BF26" i="53"/>
  <c r="BG26" i="53" s="1"/>
  <c r="BW26" i="53" s="1"/>
  <c r="BZ26" i="53" s="1"/>
  <c r="CD26" i="53" s="1"/>
  <c r="BF14" i="53"/>
  <c r="BG14" i="53" s="1"/>
  <c r="BW14" i="53" s="1"/>
  <c r="BZ14" i="53" s="1"/>
  <c r="CD14" i="53" s="1"/>
  <c r="AY27" i="53"/>
  <c r="BA27" i="53"/>
  <c r="BF21" i="53"/>
  <c r="BG21" i="53" s="1"/>
  <c r="BW21" i="53" s="1"/>
  <c r="BZ21" i="53" s="1"/>
  <c r="CD21" i="53" s="1"/>
  <c r="BF18" i="53"/>
  <c r="BG18" i="53" s="1"/>
  <c r="BW18" i="53" s="1"/>
  <c r="BZ18" i="53" s="1"/>
  <c r="CD18" i="53" s="1"/>
  <c r="AJ27" i="53"/>
  <c r="BG11" i="53" l="1"/>
  <c r="BG23" i="53"/>
  <c r="BW23" i="53" s="1"/>
  <c r="BZ23" i="53" s="1"/>
  <c r="CD23" i="53" s="1"/>
  <c r="BW11" i="53" l="1"/>
  <c r="BZ11" i="53" l="1"/>
  <c r="CD11" i="53" l="1"/>
  <c r="CD27" i="5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6" authorId="0" shapeId="0" xr:uid="{1B2EFA17-BBE4-4E06-9B11-D684EC5B085B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Theo qđ 4886 24/6/2024</t>
        </r>
      </text>
    </comment>
    <comment ref="E6" authorId="0" shapeId="0" xr:uid="{52724904-650E-4E36-AFE9-ECA97E175FA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Bỏ cột này vì đã có cột H rồi</t>
        </r>
      </text>
    </comment>
    <comment ref="T6" authorId="0" shapeId="0" xr:uid="{32DEF3CD-85F2-48F2-9C4F-BF4D8A382E6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Xem lại ghi số tháng 5 hay là tháng 6 cho đúng</t>
        </r>
      </text>
    </comment>
    <comment ref="BF6" authorId="0" shapeId="0" xr:uid="{7FDCD917-69EA-4361-8B7E-03B87140D89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Lên bỏ số tháng không cần ghi (vì đây là bảng lương của tháng 6 đã ghi ngay trên đầu biểu rồi</t>
        </r>
      </text>
    </comment>
    <comment ref="AY7" authorId="0" shapeId="0" xr:uid="{D975772A-C4DA-44F9-947A-761D85E06EDC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Bổ sung cột này</t>
        </r>
      </text>
    </comment>
    <comment ref="AJ8" authorId="0" shapeId="0" xr:uid="{C0BAF7DC-5492-4BDD-846D-BBDB70A03582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tạm trả 85%</t>
        </r>
      </text>
    </comment>
    <comment ref="AM8" authorId="0" shapeId="0" xr:uid="{6F547417-D51E-447C-BC1B-9C0A008BEA0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Tháng 11 không làm BSTN</t>
        </r>
      </text>
    </comment>
    <comment ref="AO8" authorId="0" shapeId="0" xr:uid="{FEC807EF-BF96-4A04-B64A-1BDD3C43D04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Có thể dồn vào cột AN được vì cùng hưởng 1 mức lương (khi tính lương đát j công thức nhân với cột các loại công là được)</t>
        </r>
      </text>
    </comment>
    <comment ref="A10" authorId="0" shapeId="0" xr:uid="{7DAB7D46-F07D-45D7-9C1B-9F3156B2C089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B10" authorId="0" shapeId="0" xr:uid="{F19A247D-528F-47A5-95E6-093CE0C0DEC8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C10" authorId="0" shapeId="0" xr:uid="{329F2B7E-7ED6-4920-9137-E7EF84BC2983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AK11" authorId="0" shapeId="0" xr:uid="{0E74E764-18C9-4D7C-94A4-67328FADAADC}">
      <text>
        <r>
          <rPr>
            <b/>
            <sz val="9"/>
            <color indexed="81"/>
            <rFont val="Tahoma"/>
            <family val="2"/>
          </rPr>
          <t>Author:
Công thức đặt thiếu khi A chua nhân với ô B6 (85% tạm chi lương)</t>
        </r>
      </text>
    </comment>
    <comment ref="AL11" authorId="0" shapeId="0" xr:uid="{F2FF830F-1229-4D58-A441-23127A04AF47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Quản lý Không có lương lễ</t>
        </r>
      </text>
    </comment>
    <comment ref="AM12" authorId="0" shapeId="0" xr:uid="{8601BCAB-E7CA-44C0-8D2E-637B1A946A2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60%</t>
        </r>
      </text>
    </comment>
    <comment ref="O18" authorId="0" shapeId="0" xr:uid="{9B5D5A42-0D17-44CA-BF36-524191E1BBF9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2 công kiểm kể tính thêm giờ
</t>
        </r>
      </text>
    </comment>
    <comment ref="AQ18" authorId="0" shapeId="0" xr:uid="{7F17368D-ADD6-42D8-8B68-777E60000BEC}">
      <text>
        <r>
          <rPr>
            <b/>
            <sz val="9"/>
            <color indexed="81"/>
            <rFont val="Tahoma"/>
            <family val="2"/>
            <charset val="163"/>
          </rPr>
          <t xml:space="preserve">Công kiểm kê 2 ngày 16h
</t>
        </r>
      </text>
    </comment>
    <comment ref="AY22" authorId="0" shapeId="0" xr:uid="{8599889B-8D41-42CC-A476-CC518D439A0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Đề nghị tính giảm trừ khi xếp loại B,C</t>
        </r>
      </text>
    </comment>
    <comment ref="D24" authorId="0" shapeId="0" xr:uid="{1B87E85B-B9CE-4934-BF04-C8FBB37D9C0D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QĐ số 8707 29/11/2024</t>
        </r>
      </text>
    </comment>
  </commentList>
</comments>
</file>

<file path=xl/sharedStrings.xml><?xml version="1.0" encoding="utf-8"?>
<sst xmlns="http://schemas.openxmlformats.org/spreadsheetml/2006/main" count="169" uniqueCount="117">
  <si>
    <t>TT</t>
  </si>
  <si>
    <t>Họ và tên</t>
  </si>
  <si>
    <t>Chức danh công việc</t>
  </si>
  <si>
    <t>Tiền lương chức danh công việc</t>
  </si>
  <si>
    <t>Các khoản phụ cấp</t>
  </si>
  <si>
    <t>Xếp loại LĐ</t>
  </si>
  <si>
    <t>Số công trong tháng hưởng lương</t>
  </si>
  <si>
    <t>Công trong tháng không hưởng lương</t>
  </si>
  <si>
    <t>Tiền lương nghỉ lễ</t>
  </si>
  <si>
    <t>Họ và tên</t>
  </si>
  <si>
    <t>Công đi làm</t>
  </si>
  <si>
    <t>&lt;30 km</t>
  </si>
  <si>
    <t>≥30 km</t>
  </si>
  <si>
    <t>Công nghỉ việc riêng, tạm hoãn HĐ</t>
  </si>
  <si>
    <t>Mức lương</t>
  </si>
  <si>
    <t>Phụ cấp trách nhiệm</t>
  </si>
  <si>
    <t xml:space="preserve">Nguyễn Việt Hải </t>
  </si>
  <si>
    <t>A</t>
  </si>
  <si>
    <t>Tô Huy Lượng</t>
  </si>
  <si>
    <t>Vũ Thanh Thảo</t>
  </si>
  <si>
    <t>GV</t>
  </si>
  <si>
    <t>Dương Công Minh</t>
  </si>
  <si>
    <t>Đặng Văn Tuệ</t>
  </si>
  <si>
    <t>Lý Sinh Quý</t>
  </si>
  <si>
    <t>Tổng cộng</t>
  </si>
  <si>
    <t>Các khoản trừ</t>
  </si>
  <si>
    <t>PC ATVSV</t>
  </si>
  <si>
    <t>Tiền còn lĩnh sau các khoản trừ</t>
  </si>
  <si>
    <t xml:space="preserve">Công CN </t>
  </si>
  <si>
    <t>Số tiền CN</t>
  </si>
  <si>
    <t>Tổng số tiền chuyển lương và CN</t>
  </si>
  <si>
    <t>Trừ 8% BHXH</t>
  </si>
  <si>
    <t xml:space="preserve">Trừ 1,5% BHYT </t>
  </si>
  <si>
    <t>Trừ 1% BHTN</t>
  </si>
  <si>
    <t>Quỹ mái ấm công đoàn</t>
  </si>
  <si>
    <t>Trừ tiền  vay XN  TK 1388</t>
  </si>
  <si>
    <t xml:space="preserve">Trừ  tiền nhà ở, điện nước </t>
  </si>
  <si>
    <t>Trừ tiền nuôi con theo QĐ toàn án + Phí CT</t>
  </si>
  <si>
    <t>QT thuế TNCN 6T</t>
  </si>
  <si>
    <t>Cộng các khoản trừ</t>
  </si>
  <si>
    <t>Trần Trọng Lưu</t>
  </si>
  <si>
    <t>Bùi Thế Luyên</t>
  </si>
  <si>
    <t>Phó PH- TK</t>
  </si>
  <si>
    <t>Nguyễn Công San</t>
  </si>
  <si>
    <t>Hệ GDTX</t>
  </si>
  <si>
    <t>Nghề khác</t>
  </si>
  <si>
    <t>Điện thoại</t>
  </si>
  <si>
    <t>TT tổ ĐTBDSC</t>
  </si>
  <si>
    <t>Thạch Quang Nguyên</t>
  </si>
  <si>
    <t>Lê Công Hải</t>
  </si>
  <si>
    <t>Đỗ Nguyên Đạt</t>
  </si>
  <si>
    <t>CNSC</t>
  </si>
  <si>
    <t>Trừ đi tham quan Singapore</t>
  </si>
  <si>
    <t>B</t>
  </si>
  <si>
    <t>Nguyễn Thị Thu Phương</t>
  </si>
  <si>
    <t>Nguyễn Hoàng Oanh</t>
  </si>
  <si>
    <t>Thực hiện cắt Polyp ở đợt khám sức khỏe</t>
  </si>
  <si>
    <t>Năm 2024</t>
  </si>
  <si>
    <t>Hà Thị Thanh Hoa</t>
  </si>
  <si>
    <t>Tham quan Hồng Kông đoàn 1</t>
  </si>
  <si>
    <t>Nhóm 1</t>
  </si>
  <si>
    <t>Tiền lương sửa chữa, Làm thêm giờ</t>
  </si>
  <si>
    <t>Trừ thuế TNCN T12-2024</t>
  </si>
  <si>
    <t>Trừ thuế TNCN T1-2025</t>
  </si>
  <si>
    <t xml:space="preserve">   TRƯỜNG CAO ĐẲNG THAN - KHOÁNG SẢN VIỆT NAM</t>
  </si>
  <si>
    <t>KHOA CƠ KHÍ, VẬN HÀNH THIẾT BỊ MỎ, PHÂN HIỆU ĐÀO TẠO CẨM PHẢ</t>
  </si>
  <si>
    <t>Tiền lương đóng BHXH năm 2025</t>
  </si>
  <si>
    <t>Lương vượt giờ  năm 2024</t>
  </si>
  <si>
    <t>Biểu 06</t>
  </si>
  <si>
    <t>TẬP ĐOÀN CÔNG NGHIỆP THAN - KHOÁNG SẢN VIỆT NAM</t>
  </si>
  <si>
    <t>Mức tiền lương cơ bản (đ/tháng)</t>
  </si>
  <si>
    <t>Tiền lương</t>
  </si>
  <si>
    <t>Công nghỉ lễ</t>
  </si>
  <si>
    <t>Công thử việc</t>
  </si>
  <si>
    <t>Lương phép, hè, học, BD, khác( hưởng lương BHXH)</t>
  </si>
  <si>
    <t>Lương thử việc</t>
  </si>
  <si>
    <t>PC Trách nhiệm</t>
  </si>
  <si>
    <t>PC giáo viên giỏi</t>
  </si>
  <si>
    <t>Lương tuyển sinh SCN Hệ A</t>
  </si>
  <si>
    <t>Hệ A trung cấp nghề; Hệ GDTX</t>
  </si>
  <si>
    <t>Khác, 
 / Truy lĩnh nâng lương chức danh T1/2025 (+)</t>
  </si>
  <si>
    <t xml:space="preserve">Khác, 
Truy thu (-) </t>
  </si>
  <si>
    <t>Công không hưởng lương; Công nghỉ hưởng BHXH</t>
  </si>
  <si>
    <t>Các phụ cấp</t>
  </si>
  <si>
    <t xml:space="preserve">Công khác (học, kiểm kê,..)hưởng thêm giờ </t>
  </si>
  <si>
    <t>Công s/c vượt, thêm giờ</t>
  </si>
  <si>
    <t>TBM CN ô tô-VHTB</t>
  </si>
  <si>
    <t>TBM CK-TK</t>
  </si>
  <si>
    <t>BHTT năm 2025</t>
  </si>
  <si>
    <t>Công hưởng lương chức danh ( học, họp, VN,)</t>
  </si>
  <si>
    <t>Tiền lương BSTN tạm trả</t>
  </si>
  <si>
    <t>Tiền lương chức danh khác</t>
  </si>
  <si>
    <t>Lương vượt giờ  Từ T04/2025</t>
  </si>
  <si>
    <t>Lương vượt giờ  Từ T01÷3/2025</t>
  </si>
  <si>
    <t>Từ T4/2025</t>
  </si>
  <si>
    <t>Giảm trừ BSTN do xếp loại B,C</t>
  </si>
  <si>
    <t>Công khác (phép, học, họp, VN, BD, viêc riêng) hưởng lương BH</t>
  </si>
  <si>
    <r>
      <t xml:space="preserve">Từ </t>
    </r>
    <r>
      <rPr>
        <b/>
        <sz val="10"/>
        <color rgb="FFFF0000"/>
        <rFont val="Times New Roman"/>
        <family val="1"/>
      </rPr>
      <t>T1÷3</t>
    </r>
    <r>
      <rPr>
        <b/>
        <sz val="10"/>
        <rFont val="Times New Roman"/>
        <family val="1"/>
      </rPr>
      <t>/2025</t>
    </r>
  </si>
  <si>
    <t>Từ T1÷3/2025</t>
  </si>
  <si>
    <t xml:space="preserve">Tổng lương </t>
  </si>
  <si>
    <t>Tiền lương cơ bản (Tạm trả 85%)</t>
  </si>
  <si>
    <t>Trừ 0,5% ĐP công đoàn</t>
  </si>
  <si>
    <t>PC - ATV</t>
  </si>
  <si>
    <t>Tiền lương hưởng trong tháng</t>
  </si>
  <si>
    <t>Tiền lương chất lượng công việc (Tạm trả 85%)</t>
  </si>
  <si>
    <t>(A)</t>
  </si>
  <si>
    <t>(B)</t>
  </si>
  <si>
    <t>(C)</t>
  </si>
  <si>
    <t>(27=21+…+26)</t>
  </si>
  <si>
    <t>(29=20-27+28)</t>
  </si>
  <si>
    <t>(33=29+30+32)</t>
  </si>
  <si>
    <t xml:space="preserve">                       BẢNG THANH TOÁN TIỀN LƯƠNG THÁNG 11/2025 </t>
  </si>
  <si>
    <t>Giờ vượt thanh toán tháng 11/2025</t>
  </si>
  <si>
    <t>(3)</t>
  </si>
  <si>
    <t>Chu Hoàng Dương</t>
  </si>
  <si>
    <t>GV thử việc</t>
  </si>
  <si>
    <t>Trừ thuế TNCN T11.2025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</si>
</sst>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_ * #,##0_ ;_ * \-#,##0_ ;_ * &quot;-&quot;??_ ;_ @_ "/>
    <numFmt numFmtId="166" formatCode="_ * #,##0.0_ ;_ * \-#,##0.0_ ;_ * &quot;-&quot;??_ ;_ @_ "/>
    <numFmt numFmtId="167" formatCode="_ * #,##0.00_ ;_ * \-#,##0.00_ ;_ * &quot;-&quot;??_ ;_ @_ "/>
    <numFmt numFmtId="168" formatCode="0.0%"/>
    <numFmt numFmtId="169" formatCode="_(* #,##0_);_(* \(#,##0\);_(* &quot;-&quot;??_);_(@_)"/>
    <numFmt numFmtId="170" formatCode="_(* #,##0.0_);_(* \(#,##0.0\);_(* &quot;-&quot;??_);_(@_)"/>
    <numFmt numFmtId="175" formatCode="#,##0.0_ ;\-#,##0.0\ "/>
  </numFmts>
  <fonts count="42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.VnTime"/>
      <family val="2"/>
    </font>
    <font>
      <sz val="8"/>
      <name val="Times New Roman"/>
      <family val="1"/>
    </font>
    <font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name val=".VnTime"/>
      <family val="2"/>
    </font>
    <font>
      <sz val="11"/>
      <color indexed="8"/>
      <name val="Times New Roman"/>
      <family val="2"/>
    </font>
    <font>
      <sz val="10"/>
      <name val="Arial"/>
      <family val="2"/>
      <charset val="163"/>
    </font>
    <font>
      <sz val="11"/>
      <color indexed="8"/>
      <name val="Times New Roman"/>
      <family val="1"/>
    </font>
    <font>
      <sz val="12"/>
      <name val="Times New Roman"/>
      <family val="1"/>
      <charset val="163"/>
    </font>
    <font>
      <sz val="12"/>
      <color theme="1"/>
      <name val="Times New Roman"/>
      <family val="2"/>
    </font>
    <font>
      <sz val="11"/>
      <color theme="1"/>
      <name val="Times New Roman"/>
      <family val="2"/>
      <charset val="163"/>
    </font>
    <font>
      <b/>
      <u/>
      <sz val="12"/>
      <name val="Times New Roman"/>
      <family val="1"/>
    </font>
    <font>
      <sz val="10"/>
      <name val=".VnTime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0"/>
      <name val="Times New Roman"/>
      <family val="1"/>
    </font>
    <font>
      <sz val="12"/>
      <color rgb="FF0000FF"/>
      <name val="Times New Roman"/>
      <family val="1"/>
    </font>
    <font>
      <b/>
      <sz val="9"/>
      <color indexed="81"/>
      <name val="Tahoma"/>
      <family val="2"/>
      <charset val="163"/>
    </font>
    <font>
      <b/>
      <u/>
      <sz val="12"/>
      <color rgb="FF0000FF"/>
      <name val="Times New Roman"/>
      <family val="1"/>
    </font>
    <font>
      <sz val="12"/>
      <color rgb="FFFF0000"/>
      <name val="Times New Roman"/>
      <family val="1"/>
    </font>
    <font>
      <b/>
      <sz val="10"/>
      <name val="Times New Roman"/>
      <family val="1"/>
    </font>
    <font>
      <b/>
      <sz val="10"/>
      <color rgb="FF0000FF"/>
      <name val="Times New Roman"/>
      <family val="1"/>
    </font>
    <font>
      <sz val="9"/>
      <color indexed="81"/>
      <name val="Tahoma"/>
      <family val="2"/>
      <charset val="163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4"/>
      <name val="Times New Roman"/>
      <family val="1"/>
    </font>
    <font>
      <b/>
      <sz val="12"/>
      <color rgb="FFFF0000"/>
      <name val="Times New Roman"/>
      <family val="1"/>
    </font>
    <font>
      <sz val="14"/>
      <color rgb="FFFF0000"/>
      <name val="Times New Roman"/>
      <family val="1"/>
    </font>
    <font>
      <sz val="12"/>
      <name val="Cambria"/>
      <family val="1"/>
      <scheme val="major"/>
    </font>
    <font>
      <b/>
      <sz val="12"/>
      <name val="Cambria"/>
      <family val="2"/>
      <scheme val="major"/>
    </font>
    <font>
      <sz val="12"/>
      <color rgb="FF0000FF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1">
    <xf numFmtId="0" fontId="0" fillId="0" borderId="0"/>
    <xf numFmtId="167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10" fillId="0" borderId="0"/>
    <xf numFmtId="0" fontId="9" fillId="0" borderId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" fillId="0" borderId="0"/>
    <xf numFmtId="0" fontId="2" fillId="0" borderId="0"/>
    <xf numFmtId="0" fontId="13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  <xf numFmtId="0" fontId="14" fillId="0" borderId="0"/>
    <xf numFmtId="0" fontId="16" fillId="0" borderId="0">
      <alignment vertical="top"/>
    </xf>
    <xf numFmtId="0" fontId="16" fillId="0" borderId="0">
      <alignment vertical="top"/>
    </xf>
    <xf numFmtId="0" fontId="9" fillId="0" borderId="0"/>
    <xf numFmtId="0" fontId="16" fillId="0" borderId="0"/>
    <xf numFmtId="43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8" fillId="0" borderId="0">
      <alignment vertical="top"/>
    </xf>
    <xf numFmtId="164" fontId="9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 applyAlignment="1">
      <alignment horizontal="center" vertical="center"/>
    </xf>
    <xf numFmtId="165" fontId="19" fillId="2" borderId="5" xfId="1" applyNumberFormat="1" applyFont="1" applyFill="1" applyBorder="1" applyAlignment="1">
      <alignment vertical="center" shrinkToFit="1"/>
    </xf>
    <xf numFmtId="0" fontId="29" fillId="2" borderId="1" xfId="0" applyFont="1" applyFill="1" applyBorder="1" applyAlignment="1">
      <alignment vertical="center" wrapText="1"/>
    </xf>
    <xf numFmtId="169" fontId="8" fillId="2" borderId="2" xfId="1" applyNumberFormat="1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9" fontId="24" fillId="2" borderId="0" xfId="1" applyNumberFormat="1" applyFont="1" applyFill="1" applyAlignment="1">
      <alignment horizontal="center" vertical="center"/>
    </xf>
    <xf numFmtId="165" fontId="1" fillId="2" borderId="0" xfId="1" applyNumberFormat="1" applyFont="1" applyFill="1" applyAlignment="1">
      <alignment vertical="center"/>
    </xf>
    <xf numFmtId="166" fontId="1" fillId="2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vertical="center"/>
    </xf>
    <xf numFmtId="165" fontId="25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165" fontId="21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168" fontId="24" fillId="2" borderId="0" xfId="1" applyNumberFormat="1" applyFont="1" applyFill="1" applyAlignment="1">
      <alignment vertical="center"/>
    </xf>
    <xf numFmtId="165" fontId="24" fillId="2" borderId="0" xfId="0" applyNumberFormat="1" applyFont="1" applyFill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34" fillId="2" borderId="0" xfId="0" applyFont="1" applyFill="1"/>
    <xf numFmtId="0" fontId="36" fillId="2" borderId="0" xfId="0" applyFont="1" applyFill="1"/>
    <xf numFmtId="0" fontId="32" fillId="2" borderId="0" xfId="0" applyFont="1" applyFill="1"/>
    <xf numFmtId="0" fontId="19" fillId="2" borderId="0" xfId="0" applyFont="1" applyFill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3" fontId="1" fillId="2" borderId="5" xfId="1" applyNumberFormat="1" applyFont="1" applyFill="1" applyBorder="1" applyAlignment="1">
      <alignment vertical="center"/>
    </xf>
    <xf numFmtId="3" fontId="1" fillId="2" borderId="5" xfId="2" applyNumberFormat="1" applyFont="1" applyFill="1" applyBorder="1" applyAlignment="1">
      <alignment horizontal="center" vertical="center"/>
    </xf>
    <xf numFmtId="165" fontId="1" fillId="2" borderId="5" xfId="7" applyNumberFormat="1" applyFont="1" applyFill="1" applyBorder="1" applyAlignment="1">
      <alignment horizontal="center" vertical="center"/>
    </xf>
    <xf numFmtId="165" fontId="1" fillId="2" borderId="5" xfId="3" applyNumberFormat="1" applyFont="1" applyFill="1" applyBorder="1" applyAlignment="1">
      <alignment horizontal="center" vertical="center"/>
    </xf>
    <xf numFmtId="166" fontId="1" fillId="2" borderId="5" xfId="3" applyNumberFormat="1" applyFont="1" applyFill="1" applyBorder="1" applyAlignment="1">
      <alignment vertical="center"/>
    </xf>
    <xf numFmtId="165" fontId="1" fillId="2" borderId="5" xfId="3" applyNumberFormat="1" applyFont="1" applyFill="1" applyBorder="1" applyAlignment="1">
      <alignment vertical="center"/>
    </xf>
    <xf numFmtId="170" fontId="1" fillId="2" borderId="5" xfId="1" applyNumberFormat="1" applyFont="1" applyFill="1" applyBorder="1" applyAlignment="1">
      <alignment vertical="center"/>
    </xf>
    <xf numFmtId="166" fontId="1" fillId="2" borderId="5" xfId="1" applyNumberFormat="1" applyFont="1" applyFill="1" applyBorder="1" applyAlignment="1">
      <alignment vertical="center"/>
    </xf>
    <xf numFmtId="165" fontId="1" fillId="2" borderId="5" xfId="1" applyNumberFormat="1" applyFont="1" applyFill="1" applyBorder="1" applyAlignment="1">
      <alignment vertical="center"/>
    </xf>
    <xf numFmtId="167" fontId="1" fillId="2" borderId="5" xfId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horizontal="center" vertical="center"/>
    </xf>
    <xf numFmtId="169" fontId="25" fillId="2" borderId="5" xfId="1" applyNumberFormat="1" applyFont="1" applyFill="1" applyBorder="1" applyAlignment="1">
      <alignment vertical="center"/>
    </xf>
    <xf numFmtId="169" fontId="1" fillId="2" borderId="5" xfId="1" applyNumberFormat="1" applyFont="1" applyFill="1" applyBorder="1" applyAlignment="1">
      <alignment vertical="center"/>
    </xf>
    <xf numFmtId="165" fontId="1" fillId="2" borderId="5" xfId="1" applyNumberFormat="1" applyFont="1" applyFill="1" applyBorder="1" applyAlignment="1" applyProtection="1">
      <alignment vertical="center"/>
    </xf>
    <xf numFmtId="169" fontId="1" fillId="2" borderId="5" xfId="6" applyNumberFormat="1" applyFont="1" applyFill="1" applyBorder="1" applyAlignment="1">
      <alignment vertical="center"/>
    </xf>
    <xf numFmtId="165" fontId="7" fillId="2" borderId="5" xfId="0" applyNumberFormat="1" applyFont="1" applyFill="1" applyBorder="1" applyAlignment="1">
      <alignment horizontal="center" vertical="center"/>
    </xf>
    <xf numFmtId="165" fontId="28" fillId="2" borderId="5" xfId="1" applyNumberFormat="1" applyFont="1" applyFill="1" applyBorder="1" applyAlignment="1">
      <alignment vertical="center" shrinkToFit="1"/>
    </xf>
    <xf numFmtId="165" fontId="20" fillId="2" borderId="5" xfId="1" applyNumberFormat="1" applyFont="1" applyFill="1" applyBorder="1" applyAlignment="1">
      <alignment vertical="center" shrinkToFit="1"/>
    </xf>
    <xf numFmtId="43" fontId="1" fillId="2" borderId="5" xfId="1" applyNumberFormat="1" applyFont="1" applyFill="1" applyBorder="1" applyAlignment="1">
      <alignment vertical="center"/>
    </xf>
    <xf numFmtId="3" fontId="1" fillId="2" borderId="5" xfId="39" applyNumberFormat="1" applyFont="1" applyFill="1" applyBorder="1" applyAlignment="1">
      <alignment horizontal="right" vertical="center"/>
    </xf>
    <xf numFmtId="167" fontId="1" fillId="2" borderId="5" xfId="3" applyNumberFormat="1" applyFont="1" applyFill="1" applyBorder="1" applyAlignment="1">
      <alignment vertical="center"/>
    </xf>
    <xf numFmtId="165" fontId="1" fillId="2" borderId="5" xfId="1" applyNumberFormat="1" applyFont="1" applyFill="1" applyBorder="1" applyAlignment="1" applyProtection="1">
      <alignment horizontal="right" vertical="center"/>
    </xf>
    <xf numFmtId="165" fontId="7" fillId="2" borderId="5" xfId="0" applyNumberFormat="1" applyFont="1" applyFill="1" applyBorder="1" applyAlignment="1">
      <alignment vertical="center"/>
    </xf>
    <xf numFmtId="0" fontId="19" fillId="2" borderId="5" xfId="0" applyFont="1" applyFill="1" applyBorder="1" applyAlignment="1">
      <alignment vertical="center"/>
    </xf>
    <xf numFmtId="165" fontId="35" fillId="2" borderId="5" xfId="1" applyNumberFormat="1" applyFont="1" applyFill="1" applyBorder="1" applyAlignment="1">
      <alignment vertical="center" shrinkToFit="1"/>
    </xf>
    <xf numFmtId="0" fontId="1" fillId="2" borderId="5" xfId="0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6" fontId="17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28" fillId="2" borderId="0" xfId="0" applyFont="1" applyFill="1" applyAlignment="1">
      <alignment horizontal="center" vertical="center"/>
    </xf>
    <xf numFmtId="165" fontId="7" fillId="2" borderId="0" xfId="1" applyNumberFormat="1" applyFont="1" applyFill="1" applyBorder="1" applyAlignment="1">
      <alignment vertical="center"/>
    </xf>
    <xf numFmtId="167" fontId="7" fillId="2" borderId="0" xfId="1" applyFont="1" applyFill="1" applyBorder="1" applyAlignment="1">
      <alignment vertical="center"/>
    </xf>
    <xf numFmtId="166" fontId="7" fillId="2" borderId="0" xfId="1" applyNumberFormat="1" applyFont="1" applyFill="1" applyBorder="1" applyAlignment="1">
      <alignment vertical="center"/>
    </xf>
    <xf numFmtId="0" fontId="37" fillId="2" borderId="0" xfId="0" applyFont="1" applyFill="1" applyAlignment="1">
      <alignment vertical="center"/>
    </xf>
    <xf numFmtId="0" fontId="37" fillId="2" borderId="0" xfId="0" applyFont="1" applyFill="1" applyAlignment="1">
      <alignment horizontal="center" vertical="center"/>
    </xf>
    <xf numFmtId="165" fontId="37" fillId="2" borderId="0" xfId="0" applyNumberFormat="1" applyFont="1" applyFill="1" applyAlignment="1">
      <alignment vertical="center"/>
    </xf>
    <xf numFmtId="166" fontId="37" fillId="2" borderId="0" xfId="0" applyNumberFormat="1" applyFont="1" applyFill="1" applyAlignment="1">
      <alignment horizontal="center"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7" fillId="2" borderId="0" xfId="0" applyFont="1" applyFill="1" applyAlignment="1">
      <alignment horizontal="right" vertical="center"/>
    </xf>
    <xf numFmtId="165" fontId="37" fillId="2" borderId="0" xfId="0" applyNumberFormat="1" applyFont="1" applyFill="1" applyAlignment="1">
      <alignment horizontal="center" vertical="center"/>
    </xf>
    <xf numFmtId="165" fontId="37" fillId="2" borderId="0" xfId="1" applyNumberFormat="1" applyFont="1" applyFill="1" applyAlignment="1">
      <alignment vertical="center"/>
    </xf>
    <xf numFmtId="165" fontId="37" fillId="2" borderId="0" xfId="1" applyNumberFormat="1" applyFont="1" applyFill="1" applyAlignment="1">
      <alignment horizontal="center" vertical="center"/>
    </xf>
    <xf numFmtId="0" fontId="29" fillId="2" borderId="2" xfId="0" applyFont="1" applyFill="1" applyBorder="1" applyAlignment="1">
      <alignment horizontal="center" vertical="center" wrapText="1"/>
    </xf>
    <xf numFmtId="169" fontId="1" fillId="2" borderId="2" xfId="1" applyNumberFormat="1" applyFont="1" applyFill="1" applyBorder="1" applyAlignment="1">
      <alignment vertical="center" wrapText="1"/>
    </xf>
    <xf numFmtId="169" fontId="1" fillId="2" borderId="2" xfId="1" quotePrefix="1" applyNumberFormat="1" applyFont="1" applyFill="1" applyBorder="1" applyAlignment="1">
      <alignment horizontal="center" vertical="center"/>
    </xf>
    <xf numFmtId="169" fontId="1" fillId="2" borderId="2" xfId="1" applyNumberFormat="1" applyFont="1" applyFill="1" applyBorder="1" applyAlignment="1">
      <alignment horizontal="center" vertical="center"/>
    </xf>
    <xf numFmtId="166" fontId="1" fillId="2" borderId="2" xfId="1" applyNumberFormat="1" applyFont="1" applyFill="1" applyBorder="1" applyAlignment="1">
      <alignment vertical="center" wrapText="1"/>
    </xf>
    <xf numFmtId="0" fontId="41" fillId="2" borderId="0" xfId="0" applyFont="1" applyFill="1" applyAlignment="1">
      <alignment vertical="center"/>
    </xf>
    <xf numFmtId="0" fontId="7" fillId="2" borderId="0" xfId="0" applyFont="1" applyFill="1" applyAlignment="1">
      <alignment vertical="top"/>
    </xf>
    <xf numFmtId="0" fontId="30" fillId="2" borderId="3" xfId="0" applyFont="1" applyFill="1" applyBorder="1" applyAlignment="1">
      <alignment horizontal="center" vertical="center" wrapText="1"/>
    </xf>
    <xf numFmtId="166" fontId="29" fillId="2" borderId="2" xfId="0" applyNumberFormat="1" applyFont="1" applyFill="1" applyBorder="1" applyAlignment="1">
      <alignment horizontal="center" vertical="center" wrapText="1"/>
    </xf>
    <xf numFmtId="169" fontId="1" fillId="2" borderId="5" xfId="1" applyNumberFormat="1" applyFont="1" applyFill="1" applyBorder="1" applyAlignment="1">
      <alignment horizontal="center" vertical="center" wrapText="1"/>
    </xf>
    <xf numFmtId="169" fontId="1" fillId="2" borderId="5" xfId="1" applyNumberFormat="1" applyFont="1" applyFill="1" applyBorder="1" applyAlignment="1">
      <alignment horizontal="right" vertical="center"/>
    </xf>
    <xf numFmtId="0" fontId="40" fillId="2" borderId="2" xfId="0" applyFont="1" applyFill="1" applyBorder="1" applyAlignment="1">
      <alignment vertical="center"/>
    </xf>
    <xf numFmtId="164" fontId="40" fillId="2" borderId="2" xfId="40" applyFont="1" applyFill="1" applyBorder="1" applyAlignment="1">
      <alignment vertical="center"/>
    </xf>
    <xf numFmtId="0" fontId="37" fillId="2" borderId="5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165" fontId="35" fillId="2" borderId="7" xfId="1" applyNumberFormat="1" applyFont="1" applyFill="1" applyBorder="1" applyAlignment="1">
      <alignment vertical="center"/>
    </xf>
    <xf numFmtId="0" fontId="38" fillId="2" borderId="7" xfId="0" applyFont="1" applyFill="1" applyBorder="1" applyAlignment="1">
      <alignment vertical="center"/>
    </xf>
    <xf numFmtId="166" fontId="35" fillId="2" borderId="7" xfId="1" applyNumberFormat="1" applyFont="1" applyFill="1" applyBorder="1" applyAlignment="1">
      <alignment vertical="center"/>
    </xf>
    <xf numFmtId="175" fontId="35" fillId="2" borderId="7" xfId="1" applyNumberFormat="1" applyFont="1" applyFill="1" applyBorder="1" applyAlignment="1">
      <alignment vertical="center"/>
    </xf>
    <xf numFmtId="0" fontId="29" fillId="2" borderId="1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29" fillId="2" borderId="3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29" fillId="2" borderId="10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 textRotation="90" wrapText="1"/>
    </xf>
    <xf numFmtId="166" fontId="29" fillId="2" borderId="8" xfId="0" applyNumberFormat="1" applyFont="1" applyFill="1" applyBorder="1" applyAlignment="1">
      <alignment horizontal="center" vertical="center" wrapText="1"/>
    </xf>
    <xf numFmtId="166" fontId="29" fillId="2" borderId="9" xfId="0" applyNumberFormat="1" applyFont="1" applyFill="1" applyBorder="1" applyAlignment="1">
      <alignment horizontal="center" vertical="center" wrapText="1"/>
    </xf>
    <xf numFmtId="166" fontId="29" fillId="2" borderId="10" xfId="0" applyNumberFormat="1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textRotation="90" wrapText="1"/>
    </xf>
    <xf numFmtId="0" fontId="29" fillId="2" borderId="2" xfId="2" applyFont="1" applyFill="1" applyBorder="1" applyAlignment="1">
      <alignment horizontal="center" vertical="center" wrapText="1"/>
    </xf>
    <xf numFmtId="165" fontId="20" fillId="2" borderId="6" xfId="1" applyNumberFormat="1" applyFont="1" applyFill="1" applyBorder="1" applyAlignment="1">
      <alignment horizontal="center" vertical="center" wrapText="1" shrinkToFit="1"/>
    </xf>
    <xf numFmtId="165" fontId="20" fillId="2" borderId="5" xfId="1" applyNumberFormat="1" applyFont="1" applyFill="1" applyBorder="1" applyAlignment="1">
      <alignment horizontal="center" vertical="center" wrapText="1" shrinkToFi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165" fontId="20" fillId="2" borderId="6" xfId="1" applyNumberFormat="1" applyFont="1" applyFill="1" applyBorder="1" applyAlignment="1">
      <alignment horizontal="center" vertical="center" shrinkToFit="1"/>
    </xf>
    <xf numFmtId="165" fontId="20" fillId="2" borderId="5" xfId="1" applyNumberFormat="1" applyFont="1" applyFill="1" applyBorder="1" applyAlignment="1">
      <alignment horizontal="center" vertical="center" shrinkToFit="1"/>
    </xf>
    <xf numFmtId="165" fontId="20" fillId="2" borderId="1" xfId="1" applyNumberFormat="1" applyFont="1" applyFill="1" applyBorder="1" applyAlignment="1">
      <alignment horizontal="center" vertical="center" shrinkToFit="1"/>
    </xf>
    <xf numFmtId="0" fontId="20" fillId="2" borderId="18" xfId="0" applyFont="1" applyFill="1" applyBorder="1" applyAlignment="1">
      <alignment horizontal="center" vertical="center" wrapText="1"/>
    </xf>
    <xf numFmtId="165" fontId="20" fillId="2" borderId="18" xfId="1" applyNumberFormat="1" applyFont="1" applyFill="1" applyBorder="1" applyAlignment="1">
      <alignment horizontal="center" vertical="center" shrinkToFit="1"/>
    </xf>
    <xf numFmtId="165" fontId="20" fillId="2" borderId="18" xfId="1" applyNumberFormat="1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29" fillId="2" borderId="3" xfId="2" applyFont="1" applyFill="1" applyBorder="1" applyAlignment="1">
      <alignment horizontal="center" vertical="center" wrapText="1"/>
    </xf>
  </cellXfs>
  <cellStyles count="41">
    <cellStyle name="Bình thường 6" xfId="5" xr:uid="{00000000-0005-0000-0000-000000000000}"/>
    <cellStyle name="Comma" xfId="40" builtinId="3"/>
    <cellStyle name="Comma 10" xfId="38" xr:uid="{00000000-0005-0000-0000-000001000000}"/>
    <cellStyle name="Comma 11" xfId="6" xr:uid="{00000000-0005-0000-0000-000002000000}"/>
    <cellStyle name="Comma 2" xfId="1" xr:uid="{00000000-0005-0000-0000-000003000000}"/>
    <cellStyle name="Comma 2 2" xfId="3" xr:uid="{00000000-0005-0000-0000-000004000000}"/>
    <cellStyle name="Comma 2 2 2" xfId="7" xr:uid="{00000000-0005-0000-0000-000005000000}"/>
    <cellStyle name="Comma 2 2 2 2" xfId="8" xr:uid="{00000000-0005-0000-0000-000006000000}"/>
    <cellStyle name="Comma 2 2 2 2 2" xfId="31" xr:uid="{00000000-0005-0000-0000-000007000000}"/>
    <cellStyle name="Comma 2 2 2 3" xfId="30" xr:uid="{00000000-0005-0000-0000-000008000000}"/>
    <cellStyle name="Comma 2_Thanh toan coi cham thi thang 6 nam 2011" xfId="9" xr:uid="{00000000-0005-0000-0000-000009000000}"/>
    <cellStyle name="Comma 3" xfId="10" xr:uid="{00000000-0005-0000-0000-00000A000000}"/>
    <cellStyle name="Comma 3 2" xfId="11" xr:uid="{00000000-0005-0000-0000-00000B000000}"/>
    <cellStyle name="Comma 3 2 2" xfId="32" xr:uid="{00000000-0005-0000-0000-00000C000000}"/>
    <cellStyle name="Comma 4" xfId="12" xr:uid="{00000000-0005-0000-0000-00000D000000}"/>
    <cellStyle name="Comma 4 2" xfId="33" xr:uid="{00000000-0005-0000-0000-00000E000000}"/>
    <cellStyle name="Comma 5" xfId="29" xr:uid="{00000000-0005-0000-0000-00000F000000}"/>
    <cellStyle name="Comma 6" xfId="36" xr:uid="{00000000-0005-0000-0000-000010000000}"/>
    <cellStyle name="Comma 7" xfId="13" xr:uid="{00000000-0005-0000-0000-000011000000}"/>
    <cellStyle name="Comma 7 2" xfId="14" xr:uid="{00000000-0005-0000-0000-000012000000}"/>
    <cellStyle name="Comma 7 2 2" xfId="34" xr:uid="{00000000-0005-0000-0000-000013000000}"/>
    <cellStyle name="Comma 8" xfId="28" xr:uid="{00000000-0005-0000-0000-000014000000}"/>
    <cellStyle name="Comma 8 2" xfId="37" xr:uid="{00000000-0005-0000-0000-000015000000}"/>
    <cellStyle name="Comma 9" xfId="15" xr:uid="{00000000-0005-0000-0000-000016000000}"/>
    <cellStyle name="Comma 9 2" xfId="16" xr:uid="{00000000-0005-0000-0000-000017000000}"/>
    <cellStyle name="Comma 9 2 2" xfId="35" xr:uid="{00000000-0005-0000-0000-000018000000}"/>
    <cellStyle name="Normal" xfId="0" builtinId="0"/>
    <cellStyle name="Normal 101" xfId="26" xr:uid="{00000000-0005-0000-0000-00001A000000}"/>
    <cellStyle name="Normal 110" xfId="23" xr:uid="{00000000-0005-0000-0000-00001B000000}"/>
    <cellStyle name="Normal 114" xfId="27" xr:uid="{00000000-0005-0000-0000-00001C000000}"/>
    <cellStyle name="Normal 126" xfId="25" xr:uid="{00000000-0005-0000-0000-00001D000000}"/>
    <cellStyle name="Normal 13 2" xfId="24" xr:uid="{00000000-0005-0000-0000-00001E000000}"/>
    <cellStyle name="Normal 2" xfId="17" xr:uid="{00000000-0005-0000-0000-00001F000000}"/>
    <cellStyle name="Normal 3" xfId="2" xr:uid="{00000000-0005-0000-0000-000020000000}"/>
    <cellStyle name="Normal 4" xfId="18" xr:uid="{00000000-0005-0000-0000-000021000000}"/>
    <cellStyle name="Normal 41" xfId="22" xr:uid="{00000000-0005-0000-0000-000022000000}"/>
    <cellStyle name="Normal 5" xfId="19" xr:uid="{00000000-0005-0000-0000-000023000000}"/>
    <cellStyle name="Normal 59" xfId="21" xr:uid="{00000000-0005-0000-0000-000024000000}"/>
    <cellStyle name="Normal 6" xfId="4" xr:uid="{00000000-0005-0000-0000-000025000000}"/>
    <cellStyle name="Normal_CT HSSV - PHCP KK (OK)" xfId="39" xr:uid="{00000000-0005-0000-0000-000026000000}"/>
    <cellStyle name="Percent 3" xfId="20" xr:uid="{00000000-0005-0000-0000-00002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498764</xdr:colOff>
      <xdr:row>1</xdr:row>
      <xdr:rowOff>200520</xdr:rowOff>
    </xdr:from>
    <xdr:to>
      <xdr:col>2</xdr:col>
      <xdr:colOff>973777</xdr:colOff>
      <xdr:row>1</xdr:row>
      <xdr:rowOff>203488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EE56565-2040-455A-A399-E9CB884D13A5}"/>
            </a:ext>
          </a:extLst>
        </xdr:cNvPr>
        <xdr:cNvCxnSpPr/>
      </xdr:nvCxnSpPr>
      <xdr:spPr>
        <a:xfrm flipV="1">
          <a:off x="927389" y="400545"/>
          <a:ext cx="2189513" cy="296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L&#431;&#416;NG%202025\L&#431;&#416;NG%202025%20PH&#210;NG%20TCL&#272;%20G&#7916;I\L&#431;&#416;NG%20T11.25\PHCP\6.%20L&#432;&#417;ng%20T11-2025%20CK&amp;VHTBM%20H%2011-12.xlsx" TargetMode="External"/><Relationship Id="rId1" Type="http://schemas.openxmlformats.org/officeDocument/2006/relationships/externalLinkPath" Target="/My%20Drive/L&#431;&#416;NG%202025/L&#431;&#416;NG%202025%20PH&#210;NG%20TCL&#272;%20G&#7916;I/L&#431;&#416;NG%20T11.25/PHCP/6.%20L&#432;&#417;ng%20T11-2025%20CK&amp;VHTBM%20H%2011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xz"/>
      <sheetName val="TS T1-2022"/>
      <sheetName val="DT ngắn hạn"/>
      <sheetName val="DS xác nhận TS Hệ A"/>
      <sheetName val="1. theo dõi GG"/>
      <sheetName val="2. Tổng hợp GG"/>
      <sheetName val="3. Chấm công"/>
      <sheetName val="4. GVCN"/>
      <sheetName val="PCPN"/>
      <sheetName val="5. Coi chấm thi"/>
      <sheetName val="6. THKH tháng"/>
      <sheetName val="7. Thanh toán vượt giờ"/>
      <sheetName val="8. BC giờ giảng"/>
      <sheetName val="9. Ăn ca"/>
      <sheetName val="10. Điện thoại"/>
      <sheetName val="11. Xếp loại"/>
      <sheetName val="12. Tuyển sinh"/>
      <sheetName val="13. Lương"/>
      <sheetName val="Công sc tháng 11 (k in)"/>
      <sheetName val="Công sc t10 trả 11 (k in)"/>
      <sheetName val="TH XLCL chưa chi (k in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>
        <row r="9">
          <cell r="G9">
            <v>908160</v>
          </cell>
        </row>
        <row r="10">
          <cell r="O10">
            <v>296000</v>
          </cell>
        </row>
        <row r="11">
          <cell r="O11">
            <v>296000</v>
          </cell>
        </row>
        <row r="12">
          <cell r="O12">
            <v>1816000</v>
          </cell>
        </row>
        <row r="13">
          <cell r="O13">
            <v>2355000</v>
          </cell>
        </row>
        <row r="14">
          <cell r="O14">
            <v>275000</v>
          </cell>
        </row>
        <row r="15">
          <cell r="O15">
            <v>908000</v>
          </cell>
        </row>
      </sheetData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A898F-9389-4689-A4F1-0FBDF23D9021}">
  <sheetPr>
    <pageSetUpPr fitToPage="1"/>
  </sheetPr>
  <dimension ref="A1:CD68"/>
  <sheetViews>
    <sheetView tabSelected="1" workbookViewId="0">
      <pane xSplit="2" ySplit="10" topLeftCell="AY11" activePane="bottomRight" state="frozen"/>
      <selection pane="topRight" activeCell="C1" sqref="C1"/>
      <selection pane="bottomLeft" activeCell="A12" sqref="A12"/>
      <selection pane="bottomRight" activeCell="CA11" sqref="CA11"/>
    </sheetView>
  </sheetViews>
  <sheetFormatPr defaultColWidth="5.28515625" defaultRowHeight="15.75" x14ac:dyDescent="0.25"/>
  <cols>
    <col min="1" max="1" width="6.42578125" style="69" customWidth="1"/>
    <col min="2" max="2" width="25.7109375" style="68" customWidth="1"/>
    <col min="3" max="3" width="13" style="68" customWidth="1"/>
    <col min="4" max="4" width="17.5703125" style="68" customWidth="1"/>
    <col min="5" max="5" width="15" style="68" hidden="1" customWidth="1"/>
    <col min="6" max="6" width="17.28515625" style="68" customWidth="1"/>
    <col min="7" max="7" width="16.5703125" style="68" customWidth="1"/>
    <col min="8" max="8" width="13.85546875" style="68" customWidth="1"/>
    <col min="9" max="9" width="5.5703125" style="70" customWidth="1"/>
    <col min="10" max="10" width="6.7109375" style="69" customWidth="1"/>
    <col min="11" max="11" width="5.85546875" style="69" customWidth="1"/>
    <col min="12" max="12" width="9" style="69" customWidth="1"/>
    <col min="13" max="13" width="9.42578125" style="69" hidden="1" customWidth="1"/>
    <col min="14" max="14" width="10.28515625" style="69" customWidth="1"/>
    <col min="15" max="15" width="7" style="69" hidden="1" customWidth="1"/>
    <col min="16" max="16" width="10" style="69" customWidth="1"/>
    <col min="17" max="18" width="15" style="69" hidden="1" customWidth="1"/>
    <col min="19" max="19" width="11.5703125" style="69" hidden="1" customWidth="1"/>
    <col min="20" max="29" width="15" style="71" hidden="1" customWidth="1"/>
    <col min="30" max="30" width="8.7109375" style="71" customWidth="1"/>
    <col min="31" max="31" width="8.7109375" style="71" hidden="1" customWidth="1"/>
    <col min="32" max="32" width="8.7109375" style="71" customWidth="1"/>
    <col min="33" max="33" width="8.7109375" style="71" hidden="1" customWidth="1"/>
    <col min="34" max="34" width="12.42578125" style="71" customWidth="1"/>
    <col min="35" max="35" width="8.7109375" style="71" customWidth="1"/>
    <col min="36" max="36" width="13" style="68" customWidth="1"/>
    <col min="37" max="37" width="14" style="68" customWidth="1"/>
    <col min="38" max="38" width="11.140625" style="68" customWidth="1"/>
    <col min="39" max="40" width="15" style="68" hidden="1" customWidth="1"/>
    <col min="41" max="41" width="11" style="68" customWidth="1"/>
    <col min="42" max="42" width="11.7109375" style="68" customWidth="1"/>
    <col min="43" max="43" width="14" style="72" customWidth="1"/>
    <col min="44" max="44" width="15" style="68" hidden="1" customWidth="1"/>
    <col min="45" max="45" width="13" style="68" customWidth="1"/>
    <col min="46" max="46" width="11.7109375" style="68" customWidth="1"/>
    <col min="47" max="50" width="15" style="68" hidden="1" customWidth="1"/>
    <col min="51" max="51" width="11" style="68" customWidth="1"/>
    <col min="52" max="52" width="11.42578125" style="74" customWidth="1"/>
    <col min="53" max="53" width="15" style="68" hidden="1" customWidth="1"/>
    <col min="54" max="54" width="12" style="68" customWidth="1"/>
    <col min="55" max="55" width="11.28515625" style="68" customWidth="1"/>
    <col min="56" max="57" width="15" style="68" hidden="1" customWidth="1"/>
    <col min="58" max="58" width="14.85546875" style="69" customWidth="1"/>
    <col min="59" max="59" width="13.28515625" style="14" customWidth="1"/>
    <col min="60" max="60" width="12.5703125" style="14" customWidth="1"/>
    <col min="61" max="61" width="12.140625" style="14" customWidth="1"/>
    <col min="62" max="62" width="11.7109375" style="14" customWidth="1"/>
    <col min="63" max="63" width="10" style="14" hidden="1" customWidth="1"/>
    <col min="64" max="64" width="12.28515625" style="14" hidden="1" customWidth="1"/>
    <col min="65" max="65" width="15" style="14" hidden="1" customWidth="1"/>
    <col min="66" max="66" width="10.85546875" style="14" hidden="1" customWidth="1"/>
    <col min="67" max="67" width="17.7109375" style="14" hidden="1" customWidth="1"/>
    <col min="68" max="68" width="11.7109375" style="14" hidden="1" customWidth="1"/>
    <col min="69" max="69" width="16.7109375" style="14" hidden="1" customWidth="1"/>
    <col min="70" max="70" width="10.85546875" style="14" hidden="1" customWidth="1"/>
    <col min="71" max="71" width="12" style="14" customWidth="1"/>
    <col min="72" max="72" width="14.28515625" style="14" hidden="1" customWidth="1"/>
    <col min="73" max="73" width="12.28515625" style="14" customWidth="1"/>
    <col min="74" max="74" width="18" style="14" hidden="1" customWidth="1"/>
    <col min="75" max="75" width="14.85546875" style="14" customWidth="1"/>
    <col min="76" max="76" width="10.140625" style="14" customWidth="1"/>
    <col min="77" max="77" width="10.85546875" style="14" hidden="1" customWidth="1"/>
    <col min="78" max="78" width="13.7109375" style="14" customWidth="1"/>
    <col min="79" max="79" width="11.7109375" style="14" customWidth="1"/>
    <col min="80" max="80" width="6.42578125" style="14" customWidth="1"/>
    <col min="81" max="81" width="13.7109375" style="14" customWidth="1"/>
    <col min="82" max="82" width="19.140625" style="14" customWidth="1"/>
    <col min="83" max="16384" width="5.28515625" style="68"/>
  </cols>
  <sheetData>
    <row r="1" spans="1:82" x14ac:dyDescent="0.25">
      <c r="A1" s="5" t="s">
        <v>69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"/>
      <c r="AK1" s="5"/>
      <c r="AL1" s="5"/>
      <c r="AM1" s="5"/>
      <c r="AN1" s="5"/>
      <c r="AO1" s="5"/>
      <c r="AP1" s="5"/>
      <c r="AQ1" s="15"/>
      <c r="AR1" s="5"/>
      <c r="AS1" s="5"/>
      <c r="AT1" s="5"/>
      <c r="AU1" s="5"/>
      <c r="AV1" s="5"/>
      <c r="AW1" s="5"/>
      <c r="AX1" s="5"/>
      <c r="AY1" s="5"/>
      <c r="AZ1" s="11"/>
      <c r="BA1" s="1"/>
      <c r="BB1" s="1"/>
      <c r="BC1" s="1"/>
      <c r="BD1" s="1"/>
      <c r="BE1" s="5"/>
      <c r="BF1" s="1"/>
      <c r="CA1" s="19"/>
      <c r="CB1" s="19"/>
      <c r="CC1" s="18" t="s">
        <v>68</v>
      </c>
      <c r="CD1" s="19"/>
    </row>
    <row r="2" spans="1:82" ht="18.75" customHeight="1" x14ac:dyDescent="0.25">
      <c r="A2" s="84" t="s">
        <v>64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  <c r="R2" s="13"/>
      <c r="S2" s="13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1"/>
      <c r="AK2" s="61"/>
      <c r="AL2" s="61"/>
      <c r="AM2" s="61"/>
      <c r="AN2" s="61"/>
      <c r="AO2" s="61"/>
      <c r="AP2" s="61"/>
      <c r="AQ2" s="62"/>
      <c r="AR2" s="61"/>
      <c r="AS2" s="61"/>
      <c r="AT2" s="61"/>
      <c r="AU2" s="61"/>
      <c r="AV2" s="61"/>
      <c r="AW2" s="61"/>
      <c r="AX2" s="61"/>
      <c r="AY2" s="61"/>
      <c r="AZ2" s="63"/>
      <c r="BA2" s="13"/>
      <c r="BB2" s="13"/>
      <c r="BC2" s="13"/>
      <c r="BD2" s="13"/>
      <c r="BE2" s="5"/>
      <c r="BF2" s="1"/>
      <c r="CA2" s="19"/>
      <c r="CB2" s="19"/>
      <c r="CC2" s="19"/>
      <c r="CD2" s="19"/>
    </row>
    <row r="3" spans="1:82" ht="17.649999999999999" customHeight="1" x14ac:dyDescent="0.3">
      <c r="A3" s="110" t="s">
        <v>111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3"/>
      <c r="BH3" s="13"/>
      <c r="BI3" s="13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6"/>
      <c r="CB3" s="27"/>
      <c r="CC3" s="27"/>
      <c r="CD3" s="27"/>
    </row>
    <row r="4" spans="1:82" ht="17.649999999999999" customHeight="1" x14ac:dyDescent="0.25">
      <c r="A4" s="110" t="s">
        <v>65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20"/>
      <c r="CB4" s="19"/>
      <c r="CC4" s="18"/>
      <c r="CD4" s="19"/>
    </row>
    <row r="5" spans="1:82" ht="17.850000000000001" customHeight="1" x14ac:dyDescent="0.25">
      <c r="A5" s="64">
        <v>20</v>
      </c>
      <c r="B5" s="6">
        <v>0.85</v>
      </c>
      <c r="C5" s="22">
        <v>1</v>
      </c>
      <c r="D5" s="7"/>
      <c r="E5" s="7"/>
      <c r="F5" s="7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9"/>
      <c r="AK5" s="9"/>
      <c r="AL5" s="9"/>
      <c r="AM5" s="23">
        <v>0.6</v>
      </c>
      <c r="AN5" s="9"/>
      <c r="AO5" s="9"/>
      <c r="AP5" s="9"/>
      <c r="AQ5" s="10"/>
      <c r="AR5" s="9"/>
      <c r="AS5" s="9"/>
      <c r="AT5" s="9"/>
      <c r="AU5" s="9"/>
      <c r="AV5" s="5"/>
      <c r="AW5" s="5"/>
      <c r="AX5" s="5"/>
      <c r="AY5" s="5"/>
      <c r="AZ5" s="11"/>
      <c r="BA5" s="5"/>
      <c r="BB5" s="5"/>
      <c r="BC5" s="5"/>
      <c r="BD5" s="5"/>
      <c r="BE5" s="5"/>
      <c r="BF5" s="1"/>
      <c r="BG5" s="5"/>
      <c r="BH5" s="5"/>
      <c r="BI5" s="5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1"/>
      <c r="CB5" s="21"/>
      <c r="CC5" s="58">
        <v>33000</v>
      </c>
      <c r="CD5" s="21"/>
    </row>
    <row r="6" spans="1:82" s="83" customFormat="1" ht="26.65" customHeight="1" x14ac:dyDescent="0.25">
      <c r="A6" s="105" t="s">
        <v>0</v>
      </c>
      <c r="B6" s="105" t="s">
        <v>1</v>
      </c>
      <c r="C6" s="105" t="s">
        <v>2</v>
      </c>
      <c r="D6" s="105" t="s">
        <v>3</v>
      </c>
      <c r="E6" s="105" t="s">
        <v>4</v>
      </c>
      <c r="F6" s="105" t="s">
        <v>70</v>
      </c>
      <c r="G6" s="99" t="s">
        <v>66</v>
      </c>
      <c r="H6" s="101"/>
      <c r="I6" s="105" t="s">
        <v>5</v>
      </c>
      <c r="J6" s="99" t="s">
        <v>6</v>
      </c>
      <c r="K6" s="100"/>
      <c r="L6" s="100"/>
      <c r="M6" s="100"/>
      <c r="N6" s="100"/>
      <c r="O6" s="100"/>
      <c r="P6" s="100"/>
      <c r="Q6" s="101"/>
      <c r="R6" s="99" t="s">
        <v>7</v>
      </c>
      <c r="S6" s="101"/>
      <c r="T6" s="116" t="s">
        <v>112</v>
      </c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8"/>
      <c r="AJ6" s="107" t="s">
        <v>103</v>
      </c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8"/>
      <c r="BF6" s="105" t="s">
        <v>99</v>
      </c>
      <c r="BG6" s="127" t="s">
        <v>25</v>
      </c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5" t="s">
        <v>102</v>
      </c>
      <c r="BY6" s="125" t="s">
        <v>26</v>
      </c>
      <c r="BZ6" s="121" t="s">
        <v>27</v>
      </c>
      <c r="CA6" s="125" t="s">
        <v>46</v>
      </c>
      <c r="CB6" s="121" t="s">
        <v>28</v>
      </c>
      <c r="CC6" s="125" t="s">
        <v>29</v>
      </c>
      <c r="CD6" s="121" t="s">
        <v>30</v>
      </c>
    </row>
    <row r="7" spans="1:82" s="83" customFormat="1" ht="26.25" customHeight="1" x14ac:dyDescent="0.25">
      <c r="A7" s="111"/>
      <c r="B7" s="111"/>
      <c r="C7" s="111"/>
      <c r="D7" s="111"/>
      <c r="E7" s="111"/>
      <c r="F7" s="111"/>
      <c r="G7" s="102"/>
      <c r="H7" s="104"/>
      <c r="I7" s="111"/>
      <c r="J7" s="102"/>
      <c r="K7" s="103"/>
      <c r="L7" s="103"/>
      <c r="M7" s="103"/>
      <c r="N7" s="103"/>
      <c r="O7" s="103"/>
      <c r="P7" s="103"/>
      <c r="Q7" s="104"/>
      <c r="R7" s="102"/>
      <c r="S7" s="104"/>
      <c r="T7" s="107" t="s">
        <v>57</v>
      </c>
      <c r="U7" s="109"/>
      <c r="V7" s="109"/>
      <c r="W7" s="108"/>
      <c r="X7" s="107" t="s">
        <v>97</v>
      </c>
      <c r="Y7" s="109"/>
      <c r="Z7" s="109"/>
      <c r="AA7" s="109"/>
      <c r="AB7" s="109"/>
      <c r="AC7" s="108"/>
      <c r="AD7" s="107" t="s">
        <v>94</v>
      </c>
      <c r="AE7" s="109"/>
      <c r="AF7" s="109"/>
      <c r="AG7" s="109"/>
      <c r="AH7" s="109"/>
      <c r="AI7" s="108"/>
      <c r="AJ7" s="112" t="s">
        <v>71</v>
      </c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4"/>
      <c r="AX7" s="3"/>
      <c r="AY7" s="98" t="s">
        <v>95</v>
      </c>
      <c r="AZ7" s="112" t="s">
        <v>83</v>
      </c>
      <c r="BA7" s="113"/>
      <c r="BB7" s="113"/>
      <c r="BC7" s="113"/>
      <c r="BD7" s="113"/>
      <c r="BE7" s="114"/>
      <c r="BF7" s="111"/>
      <c r="BG7" s="123" t="s">
        <v>101</v>
      </c>
      <c r="BH7" s="123" t="s">
        <v>31</v>
      </c>
      <c r="BI7" s="123" t="s">
        <v>32</v>
      </c>
      <c r="BJ7" s="123" t="s">
        <v>33</v>
      </c>
      <c r="BK7" s="123" t="s">
        <v>62</v>
      </c>
      <c r="BL7" s="123" t="s">
        <v>63</v>
      </c>
      <c r="BM7" s="123" t="s">
        <v>59</v>
      </c>
      <c r="BN7" s="123" t="s">
        <v>34</v>
      </c>
      <c r="BO7" s="123" t="s">
        <v>56</v>
      </c>
      <c r="BP7" s="123" t="s">
        <v>35</v>
      </c>
      <c r="BQ7" s="123" t="s">
        <v>36</v>
      </c>
      <c r="BR7" s="123" t="s">
        <v>88</v>
      </c>
      <c r="BS7" s="123" t="s">
        <v>37</v>
      </c>
      <c r="BT7" s="123" t="s">
        <v>38</v>
      </c>
      <c r="BU7" s="123" t="s">
        <v>116</v>
      </c>
      <c r="BV7" s="123" t="s">
        <v>52</v>
      </c>
      <c r="BW7" s="123" t="s">
        <v>39</v>
      </c>
      <c r="BX7" s="126"/>
      <c r="BY7" s="126"/>
      <c r="BZ7" s="122"/>
      <c r="CA7" s="126"/>
      <c r="CB7" s="122"/>
      <c r="CC7" s="126"/>
      <c r="CD7" s="122"/>
    </row>
    <row r="8" spans="1:82" s="83" customFormat="1" ht="39.6" customHeight="1" x14ac:dyDescent="0.25">
      <c r="A8" s="111"/>
      <c r="B8" s="111"/>
      <c r="C8" s="111"/>
      <c r="D8" s="111"/>
      <c r="E8" s="111"/>
      <c r="F8" s="111"/>
      <c r="G8" s="105" t="s">
        <v>14</v>
      </c>
      <c r="H8" s="105" t="s">
        <v>15</v>
      </c>
      <c r="I8" s="111"/>
      <c r="J8" s="105" t="s">
        <v>10</v>
      </c>
      <c r="K8" s="105" t="s">
        <v>72</v>
      </c>
      <c r="L8" s="131" t="s">
        <v>96</v>
      </c>
      <c r="M8" s="115" t="s">
        <v>89</v>
      </c>
      <c r="N8" s="105" t="s">
        <v>73</v>
      </c>
      <c r="O8" s="115" t="s">
        <v>84</v>
      </c>
      <c r="P8" s="107" t="s">
        <v>85</v>
      </c>
      <c r="Q8" s="108"/>
      <c r="R8" s="105" t="s">
        <v>13</v>
      </c>
      <c r="S8" s="115" t="s">
        <v>82</v>
      </c>
      <c r="T8" s="107" t="s">
        <v>44</v>
      </c>
      <c r="U8" s="108"/>
      <c r="V8" s="107" t="s">
        <v>45</v>
      </c>
      <c r="W8" s="108"/>
      <c r="X8" s="107" t="s">
        <v>60</v>
      </c>
      <c r="Y8" s="108"/>
      <c r="Z8" s="107" t="s">
        <v>44</v>
      </c>
      <c r="AA8" s="108"/>
      <c r="AB8" s="107" t="s">
        <v>45</v>
      </c>
      <c r="AC8" s="108"/>
      <c r="AD8" s="107" t="s">
        <v>60</v>
      </c>
      <c r="AE8" s="108"/>
      <c r="AF8" s="107" t="s">
        <v>44</v>
      </c>
      <c r="AG8" s="108"/>
      <c r="AH8" s="107" t="s">
        <v>45</v>
      </c>
      <c r="AI8" s="108"/>
      <c r="AJ8" s="105" t="s">
        <v>100</v>
      </c>
      <c r="AK8" s="105" t="s">
        <v>104</v>
      </c>
      <c r="AL8" s="105" t="s">
        <v>8</v>
      </c>
      <c r="AM8" s="105" t="s">
        <v>90</v>
      </c>
      <c r="AN8" s="105" t="s">
        <v>91</v>
      </c>
      <c r="AO8" s="115" t="s">
        <v>74</v>
      </c>
      <c r="AP8" s="105" t="s">
        <v>75</v>
      </c>
      <c r="AQ8" s="107" t="s">
        <v>61</v>
      </c>
      <c r="AR8" s="108"/>
      <c r="AS8" s="107" t="s">
        <v>92</v>
      </c>
      <c r="AT8" s="108"/>
      <c r="AU8" s="107" t="s">
        <v>93</v>
      </c>
      <c r="AV8" s="108"/>
      <c r="AW8" s="107" t="s">
        <v>67</v>
      </c>
      <c r="AX8" s="108"/>
      <c r="AY8" s="98"/>
      <c r="AZ8" s="120" t="s">
        <v>76</v>
      </c>
      <c r="BA8" s="120" t="s">
        <v>77</v>
      </c>
      <c r="BB8" s="120" t="s">
        <v>78</v>
      </c>
      <c r="BC8" s="120" t="s">
        <v>79</v>
      </c>
      <c r="BD8" s="120" t="s">
        <v>80</v>
      </c>
      <c r="BE8" s="120" t="s">
        <v>81</v>
      </c>
      <c r="BF8" s="111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6"/>
      <c r="BY8" s="126"/>
      <c r="BZ8" s="122"/>
      <c r="CA8" s="126"/>
      <c r="CB8" s="122"/>
      <c r="CC8" s="126"/>
      <c r="CD8" s="122"/>
    </row>
    <row r="9" spans="1:82" s="83" customFormat="1" ht="35.65" customHeight="1" x14ac:dyDescent="0.25">
      <c r="A9" s="106"/>
      <c r="B9" s="111" t="s">
        <v>9</v>
      </c>
      <c r="C9" s="111" t="s">
        <v>9</v>
      </c>
      <c r="D9" s="111"/>
      <c r="E9" s="111"/>
      <c r="F9" s="111"/>
      <c r="G9" s="111"/>
      <c r="H9" s="111"/>
      <c r="I9" s="111"/>
      <c r="J9" s="111"/>
      <c r="K9" s="111"/>
      <c r="L9" s="132"/>
      <c r="M9" s="119"/>
      <c r="N9" s="111"/>
      <c r="O9" s="119"/>
      <c r="P9" s="85" t="s">
        <v>94</v>
      </c>
      <c r="Q9" s="85" t="s">
        <v>98</v>
      </c>
      <c r="R9" s="111"/>
      <c r="S9" s="119"/>
      <c r="T9" s="86" t="s">
        <v>11</v>
      </c>
      <c r="U9" s="86" t="s">
        <v>12</v>
      </c>
      <c r="V9" s="86" t="s">
        <v>11</v>
      </c>
      <c r="W9" s="86" t="s">
        <v>12</v>
      </c>
      <c r="X9" s="86" t="s">
        <v>11</v>
      </c>
      <c r="Y9" s="86" t="s">
        <v>12</v>
      </c>
      <c r="Z9" s="86" t="s">
        <v>11</v>
      </c>
      <c r="AA9" s="86" t="s">
        <v>12</v>
      </c>
      <c r="AB9" s="86" t="s">
        <v>11</v>
      </c>
      <c r="AC9" s="86" t="s">
        <v>12</v>
      </c>
      <c r="AD9" s="86" t="s">
        <v>11</v>
      </c>
      <c r="AE9" s="86" t="s">
        <v>12</v>
      </c>
      <c r="AF9" s="86" t="s">
        <v>11</v>
      </c>
      <c r="AG9" s="86" t="s">
        <v>12</v>
      </c>
      <c r="AH9" s="86" t="s">
        <v>11</v>
      </c>
      <c r="AI9" s="86" t="s">
        <v>12</v>
      </c>
      <c r="AJ9" s="111"/>
      <c r="AK9" s="111"/>
      <c r="AL9" s="111"/>
      <c r="AM9" s="111"/>
      <c r="AN9" s="111"/>
      <c r="AO9" s="119"/>
      <c r="AP9" s="111"/>
      <c r="AQ9" s="85" t="s">
        <v>94</v>
      </c>
      <c r="AR9" s="85" t="s">
        <v>98</v>
      </c>
      <c r="AS9" s="78" t="s">
        <v>11</v>
      </c>
      <c r="AT9" s="78" t="s">
        <v>12</v>
      </c>
      <c r="AU9" s="78" t="s">
        <v>11</v>
      </c>
      <c r="AV9" s="78" t="s">
        <v>12</v>
      </c>
      <c r="AW9" s="78" t="s">
        <v>11</v>
      </c>
      <c r="AX9" s="78" t="s">
        <v>12</v>
      </c>
      <c r="AY9" s="105"/>
      <c r="AZ9" s="133"/>
      <c r="BA9" s="133"/>
      <c r="BB9" s="133"/>
      <c r="BC9" s="133"/>
      <c r="BD9" s="133"/>
      <c r="BE9" s="133"/>
      <c r="BF9" s="111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9"/>
      <c r="BY9" s="129"/>
      <c r="BZ9" s="130"/>
      <c r="CA9" s="129"/>
      <c r="CB9" s="130"/>
      <c r="CC9" s="129"/>
      <c r="CD9" s="130"/>
    </row>
    <row r="10" spans="1:82" ht="18" customHeight="1" x14ac:dyDescent="0.25">
      <c r="A10" s="79" t="s">
        <v>105</v>
      </c>
      <c r="B10" s="79" t="s">
        <v>106</v>
      </c>
      <c r="C10" s="79" t="s">
        <v>107</v>
      </c>
      <c r="D10" s="79">
        <v>-1</v>
      </c>
      <c r="E10" s="79"/>
      <c r="F10" s="81">
        <v>-2</v>
      </c>
      <c r="G10" s="80" t="s">
        <v>113</v>
      </c>
      <c r="H10" s="81">
        <v>-4</v>
      </c>
      <c r="I10" s="79">
        <v>-5</v>
      </c>
      <c r="J10" s="79">
        <v>-6</v>
      </c>
      <c r="K10" s="79">
        <v>-7</v>
      </c>
      <c r="L10" s="79">
        <v>-8</v>
      </c>
      <c r="M10" s="79">
        <v>-7</v>
      </c>
      <c r="N10" s="79">
        <v>-9</v>
      </c>
      <c r="O10" s="79"/>
      <c r="P10" s="79">
        <v>-10</v>
      </c>
      <c r="Q10" s="79"/>
      <c r="R10" s="79"/>
      <c r="S10" s="79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79">
        <v>-11</v>
      </c>
      <c r="AE10" s="79"/>
      <c r="AF10" s="79">
        <v>-12</v>
      </c>
      <c r="AG10" s="79">
        <v>-13</v>
      </c>
      <c r="AH10" s="79">
        <v>-14</v>
      </c>
      <c r="AI10" s="79">
        <v>-15</v>
      </c>
      <c r="AJ10" s="79">
        <v>-16</v>
      </c>
      <c r="AK10" s="79">
        <v>-17</v>
      </c>
      <c r="AL10" s="79">
        <v>-18</v>
      </c>
      <c r="AM10" s="79">
        <v>-10</v>
      </c>
      <c r="AN10" s="79">
        <v>-10</v>
      </c>
      <c r="AO10" s="79">
        <v>-19</v>
      </c>
      <c r="AP10" s="79">
        <v>-20</v>
      </c>
      <c r="AQ10" s="79">
        <v>-21</v>
      </c>
      <c r="AR10" s="79">
        <v>-10</v>
      </c>
      <c r="AS10" s="79">
        <v>-22</v>
      </c>
      <c r="AT10" s="79">
        <v>-23</v>
      </c>
      <c r="AU10" s="79">
        <v>-10</v>
      </c>
      <c r="AV10" s="79">
        <v>-10</v>
      </c>
      <c r="AW10" s="79">
        <v>-10</v>
      </c>
      <c r="AX10" s="79">
        <v>-10</v>
      </c>
      <c r="AY10" s="79">
        <v>-24</v>
      </c>
      <c r="AZ10" s="79">
        <v>-25</v>
      </c>
      <c r="BA10" s="79">
        <v>-10</v>
      </c>
      <c r="BB10" s="79">
        <v>-26</v>
      </c>
      <c r="BC10" s="79">
        <v>-27</v>
      </c>
      <c r="BD10" s="79">
        <v>-10</v>
      </c>
      <c r="BE10" s="79">
        <v>-10</v>
      </c>
      <c r="BF10" s="79">
        <v>-28</v>
      </c>
      <c r="BG10" s="4">
        <v>-21</v>
      </c>
      <c r="BH10" s="4">
        <v>-22</v>
      </c>
      <c r="BI10" s="4">
        <v>-23</v>
      </c>
      <c r="BJ10" s="4">
        <v>-24</v>
      </c>
      <c r="BK10" s="4"/>
      <c r="BL10" s="4"/>
      <c r="BM10" s="4"/>
      <c r="BN10" s="4"/>
      <c r="BO10" s="4"/>
      <c r="BP10" s="4"/>
      <c r="BQ10" s="4"/>
      <c r="BR10" s="4"/>
      <c r="BS10" s="4">
        <v>-25</v>
      </c>
      <c r="BT10" s="4"/>
      <c r="BU10" s="4">
        <v>-26</v>
      </c>
      <c r="BV10" s="89"/>
      <c r="BW10" s="89" t="s">
        <v>108</v>
      </c>
      <c r="BX10" s="90">
        <v>28</v>
      </c>
      <c r="BY10" s="89"/>
      <c r="BZ10" s="89" t="s">
        <v>109</v>
      </c>
      <c r="CA10" s="89">
        <v>30</v>
      </c>
      <c r="CB10" s="89">
        <v>31</v>
      </c>
      <c r="CC10" s="89">
        <v>32</v>
      </c>
      <c r="CD10" s="89" t="s">
        <v>110</v>
      </c>
    </row>
    <row r="11" spans="1:82" s="91" customFormat="1" ht="50.25" customHeight="1" x14ac:dyDescent="0.25">
      <c r="A11" s="29">
        <v>1</v>
      </c>
      <c r="B11" s="30" t="s">
        <v>16</v>
      </c>
      <c r="C11" s="87" t="s">
        <v>42</v>
      </c>
      <c r="D11" s="32">
        <v>16740000</v>
      </c>
      <c r="E11" s="44"/>
      <c r="F11" s="34">
        <v>6500000</v>
      </c>
      <c r="G11" s="33">
        <v>9030000</v>
      </c>
      <c r="H11" s="33"/>
      <c r="I11" s="35" t="s">
        <v>17</v>
      </c>
      <c r="J11" s="37">
        <v>14</v>
      </c>
      <c r="K11" s="37">
        <v>2</v>
      </c>
      <c r="L11" s="37">
        <v>4</v>
      </c>
      <c r="M11" s="37">
        <v>0</v>
      </c>
      <c r="N11" s="37"/>
      <c r="O11" s="37">
        <v>0</v>
      </c>
      <c r="P11" s="38">
        <v>0</v>
      </c>
      <c r="Q11" s="38"/>
      <c r="R11" s="38"/>
      <c r="S11" s="38">
        <v>0</v>
      </c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>
        <v>0</v>
      </c>
      <c r="AI11" s="39">
        <v>0</v>
      </c>
      <c r="AJ11" s="35">
        <f>ROUND(F11*(J11+K11+M11)/$A$5,-3)</f>
        <v>5200000</v>
      </c>
      <c r="AK11" s="42">
        <f>IF(I11="A",(D11-F11)*(J11+K11+M11)/$A$5,IF(I11="B",(D11-F11)*0.5*(J11+K11+M11)/$A$5,IF(I11="C",0)))</f>
        <v>8192000</v>
      </c>
      <c r="AL11" s="40"/>
      <c r="AM11" s="40"/>
      <c r="AN11" s="40"/>
      <c r="AO11" s="40">
        <f>ROUND(G11*(L11)/$A$5,-3)</f>
        <v>1806000</v>
      </c>
      <c r="AP11" s="40">
        <f t="shared" ref="AP11:AP15" si="0">ROUND(G11*N11/$A$5*85%,-3)</f>
        <v>0</v>
      </c>
      <c r="AQ11" s="43">
        <f t="shared" ref="AQ11:AQ26" si="1">ROUND(P11*316000,-3)</f>
        <v>0</v>
      </c>
      <c r="AR11" s="44">
        <f t="shared" ref="AR11:AR15" si="2">ROUND(Q11*301000,-3)</f>
        <v>0</v>
      </c>
      <c r="AS11" s="44">
        <f t="shared" ref="AS11:AS26" si="3">ROUND(AD11*43000+AF11*43000+AH11*43000,-3)</f>
        <v>0</v>
      </c>
      <c r="AT11" s="44">
        <f t="shared" ref="AT11:AT26" si="4">ROUND(AE11*54000+AG11*54000+AI11*57000,-3)</f>
        <v>0</v>
      </c>
      <c r="AU11" s="45">
        <f>ROUND((AF11*39000+AH11*39000),-3)</f>
        <v>0</v>
      </c>
      <c r="AV11" s="45">
        <f>ROUND((AI11*52000+AG11*48600),-3)</f>
        <v>0</v>
      </c>
      <c r="AW11" s="45">
        <f>ROUND((T11*39000+AD11*39000),-3)</f>
        <v>0</v>
      </c>
      <c r="AX11" s="45">
        <f>ROUND((U11*48600+AE11*52000),-3)</f>
        <v>0</v>
      </c>
      <c r="AY11" s="45"/>
      <c r="AZ11" s="88"/>
      <c r="BA11" s="44"/>
      <c r="BB11" s="44"/>
      <c r="BC11" s="44"/>
      <c r="BD11" s="44"/>
      <c r="BE11" s="44"/>
      <c r="BF11" s="47">
        <f>SUM(AJ11:BD11)-BE11</f>
        <v>15198000</v>
      </c>
      <c r="BG11" s="2">
        <f>ROUND((BF11-BH11-BI11-BJ11)*0.5/100,-3)</f>
        <v>71000</v>
      </c>
      <c r="BH11" s="48">
        <v>722400</v>
      </c>
      <c r="BI11" s="48">
        <v>135450</v>
      </c>
      <c r="BJ11" s="48">
        <v>90300</v>
      </c>
      <c r="BK11" s="48"/>
      <c r="BL11" s="2"/>
      <c r="BM11" s="2"/>
      <c r="BN11" s="2"/>
      <c r="BO11" s="2"/>
      <c r="BP11" s="2"/>
      <c r="BQ11" s="2"/>
      <c r="BR11" s="48"/>
      <c r="BS11" s="2"/>
      <c r="BT11" s="2"/>
      <c r="BU11" s="2">
        <v>1000000</v>
      </c>
      <c r="BV11" s="2"/>
      <c r="BW11" s="49">
        <f>SUM(BG11:BV11)</f>
        <v>2019150</v>
      </c>
      <c r="BX11" s="2"/>
      <c r="BY11" s="2"/>
      <c r="BZ11" s="49">
        <f>(BF11-BW11+BX11+BY11)</f>
        <v>13178850</v>
      </c>
      <c r="CA11" s="2"/>
      <c r="CB11" s="2">
        <f>J11</f>
        <v>14</v>
      </c>
      <c r="CC11" s="2">
        <f>CB11*$CC$5</f>
        <v>462000</v>
      </c>
      <c r="CD11" s="49">
        <f>BZ11+CC11+CA11</f>
        <v>13640850</v>
      </c>
    </row>
    <row r="12" spans="1:82" s="91" customFormat="1" ht="50.25" customHeight="1" x14ac:dyDescent="0.25">
      <c r="A12" s="29">
        <v>2</v>
      </c>
      <c r="B12" s="30" t="s">
        <v>19</v>
      </c>
      <c r="C12" s="24" t="s">
        <v>86</v>
      </c>
      <c r="D12" s="32">
        <v>14700000</v>
      </c>
      <c r="E12" s="33">
        <v>525000</v>
      </c>
      <c r="F12" s="34">
        <v>6500000</v>
      </c>
      <c r="G12" s="33">
        <v>6830000</v>
      </c>
      <c r="H12" s="33">
        <v>525000</v>
      </c>
      <c r="I12" s="35" t="s">
        <v>17</v>
      </c>
      <c r="J12" s="37">
        <v>18</v>
      </c>
      <c r="K12" s="37">
        <v>2</v>
      </c>
      <c r="L12" s="36">
        <v>0</v>
      </c>
      <c r="M12" s="37">
        <v>0</v>
      </c>
      <c r="N12" s="37"/>
      <c r="O12" s="37">
        <v>0</v>
      </c>
      <c r="P12" s="38">
        <v>0</v>
      </c>
      <c r="Q12" s="38"/>
      <c r="R12" s="38"/>
      <c r="S12" s="38">
        <v>0</v>
      </c>
      <c r="T12" s="39">
        <v>0</v>
      </c>
      <c r="U12" s="39">
        <v>0</v>
      </c>
      <c r="V12" s="39"/>
      <c r="W12" s="39"/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40">
        <v>0</v>
      </c>
      <c r="AE12" s="40">
        <v>0</v>
      </c>
      <c r="AF12" s="41">
        <v>69.333333333333314</v>
      </c>
      <c r="AG12" s="41">
        <v>0</v>
      </c>
      <c r="AH12" s="41">
        <v>83.833333333333357</v>
      </c>
      <c r="AI12" s="41">
        <v>66.833333333333329</v>
      </c>
      <c r="AJ12" s="35">
        <f t="shared" ref="AJ12:AJ23" si="5">ROUND(F12*(J12)/$A$5*$B$5,-3)</f>
        <v>4973000</v>
      </c>
      <c r="AK12" s="42">
        <f t="shared" ref="AK12:AK23" si="6">ROUND(IF(I12="A",(D12-F12-4500000)*(J12)/$A$5*$B$5,IF(I12="B",(D12-F12-4500000)*0.5*(J12)/$A$5*$B$5,IF(I12="C",0))),-3)</f>
        <v>2831000</v>
      </c>
      <c r="AL12" s="40">
        <f t="shared" ref="AL12:AL26" si="7">ROUND(G12*(K12)/$A$5,-3)</f>
        <v>683000</v>
      </c>
      <c r="AM12" s="40"/>
      <c r="AN12" s="40">
        <f>ROUND((D12)*M12/$A$5,-3)</f>
        <v>0</v>
      </c>
      <c r="AO12" s="40">
        <f>ROUND(G12*(L12)/$A$5,-3)</f>
        <v>0</v>
      </c>
      <c r="AP12" s="40">
        <f t="shared" si="0"/>
        <v>0</v>
      </c>
      <c r="AQ12" s="43">
        <f t="shared" si="1"/>
        <v>0</v>
      </c>
      <c r="AR12" s="44">
        <f t="shared" si="2"/>
        <v>0</v>
      </c>
      <c r="AS12" s="44">
        <f>ROUND(AD12*43000+AF12*43000+AH12*43000,-3)</f>
        <v>6586000</v>
      </c>
      <c r="AT12" s="44">
        <f>ROUND(AE12*54000+AG12*54000+AI12*57000,-3)</f>
        <v>3810000</v>
      </c>
      <c r="AU12" s="45">
        <f>ROUND((X12*39000+Z12*39000+AB12*39000),-3)</f>
        <v>0</v>
      </c>
      <c r="AV12" s="45">
        <f>ROUND((AC12*52000+AA12*48600+Y12*52000),-3)</f>
        <v>0</v>
      </c>
      <c r="AW12" s="45">
        <f>ROUND((T12*39000+V12*39000),-3)</f>
        <v>0</v>
      </c>
      <c r="AX12" s="45">
        <f>(U12*48600+AE12*52000)</f>
        <v>0</v>
      </c>
      <c r="AY12" s="46">
        <f t="shared" ref="AY12:AY26" si="8">ROUND((IF(I12="A",0,IF(I12="B",-(1330000)*50%,IF(I12="C",-(1330000)*100%))))*(J12)/$A$5,-3)</f>
        <v>0</v>
      </c>
      <c r="AZ12" s="40">
        <v>525000</v>
      </c>
      <c r="BA12" s="40"/>
      <c r="BB12" s="44"/>
      <c r="BC12" s="44"/>
      <c r="BD12" s="44"/>
      <c r="BE12" s="44"/>
      <c r="BF12" s="47">
        <f t="shared" ref="BF12:BF26" si="9">SUM(AJ12:BD12)-BE12</f>
        <v>19408000</v>
      </c>
      <c r="BG12" s="2">
        <f t="shared" ref="BG12:BG26" si="10">ROUND((BF12-BH12-BI12-BJ12)*0.5/100,-3)</f>
        <v>93000</v>
      </c>
      <c r="BH12" s="48">
        <v>588400</v>
      </c>
      <c r="BI12" s="48">
        <v>110325</v>
      </c>
      <c r="BJ12" s="48">
        <v>73550</v>
      </c>
      <c r="BK12" s="2"/>
      <c r="BL12" s="2"/>
      <c r="BM12" s="2"/>
      <c r="BN12" s="2"/>
      <c r="BO12" s="2"/>
      <c r="BP12" s="2"/>
      <c r="BQ12" s="2"/>
      <c r="BR12" s="48"/>
      <c r="BS12" s="2"/>
      <c r="BT12" s="2"/>
      <c r="BU12" s="2">
        <v>500000</v>
      </c>
      <c r="BV12" s="2"/>
      <c r="BW12" s="49">
        <f t="shared" ref="BW12:BW24" si="11">SUM(BG12:BV12)</f>
        <v>1365275</v>
      </c>
      <c r="BX12" s="2"/>
      <c r="BY12" s="2"/>
      <c r="BZ12" s="49">
        <f t="shared" ref="BZ12:BZ26" si="12">(BF12-BW12+BX12+BY12)</f>
        <v>18042725</v>
      </c>
      <c r="CA12" s="2">
        <v>100000</v>
      </c>
      <c r="CB12" s="2">
        <f t="shared" ref="CB12:CB26" si="13">J12</f>
        <v>18</v>
      </c>
      <c r="CC12" s="2">
        <f t="shared" ref="CC12:CC26" si="14">CB12*$CC$5</f>
        <v>594000</v>
      </c>
      <c r="CD12" s="49">
        <f t="shared" ref="CD12:CD26" si="15">BZ12+CC12+CA12</f>
        <v>18736725</v>
      </c>
    </row>
    <row r="13" spans="1:82" s="91" customFormat="1" ht="50.25" customHeight="1" x14ac:dyDescent="0.25">
      <c r="A13" s="29">
        <v>3</v>
      </c>
      <c r="B13" s="30" t="s">
        <v>21</v>
      </c>
      <c r="C13" s="29" t="s">
        <v>20</v>
      </c>
      <c r="D13" s="32">
        <v>14700000</v>
      </c>
      <c r="E13" s="33"/>
      <c r="F13" s="34">
        <v>6500000</v>
      </c>
      <c r="G13" s="33">
        <v>6830000</v>
      </c>
      <c r="H13" s="33"/>
      <c r="I13" s="35" t="s">
        <v>17</v>
      </c>
      <c r="J13" s="37">
        <v>18</v>
      </c>
      <c r="K13" s="37">
        <v>2</v>
      </c>
      <c r="L13" s="37">
        <v>0</v>
      </c>
      <c r="M13" s="37">
        <v>0</v>
      </c>
      <c r="N13" s="37"/>
      <c r="O13" s="37">
        <v>0</v>
      </c>
      <c r="P13" s="50">
        <v>56.5</v>
      </c>
      <c r="Q13" s="38"/>
      <c r="R13" s="38"/>
      <c r="S13" s="38">
        <v>0</v>
      </c>
      <c r="T13" s="40">
        <v>0</v>
      </c>
      <c r="U13" s="40">
        <v>0</v>
      </c>
      <c r="V13" s="40"/>
      <c r="W13" s="40"/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39">
        <v>0</v>
      </c>
      <c r="AE13" s="39">
        <v>0</v>
      </c>
      <c r="AF13" s="41">
        <v>7.4666666666666686</v>
      </c>
      <c r="AG13" s="41">
        <v>0</v>
      </c>
      <c r="AH13" s="41">
        <v>191.35</v>
      </c>
      <c r="AI13" s="41">
        <v>0</v>
      </c>
      <c r="AJ13" s="35">
        <f t="shared" si="5"/>
        <v>4973000</v>
      </c>
      <c r="AK13" s="42">
        <f t="shared" si="6"/>
        <v>2831000</v>
      </c>
      <c r="AL13" s="40">
        <f t="shared" si="7"/>
        <v>683000</v>
      </c>
      <c r="AM13" s="40"/>
      <c r="AN13" s="40">
        <f>ROUND((D13)*M13/$A$5,-3)</f>
        <v>0</v>
      </c>
      <c r="AO13" s="40">
        <f t="shared" ref="AO13:AO26" si="16">ROUND(G13*(L13)/$A$5,-3)</f>
        <v>0</v>
      </c>
      <c r="AP13" s="40">
        <f t="shared" si="0"/>
        <v>0</v>
      </c>
      <c r="AQ13" s="43">
        <f>ROUND(P13*316000,-3)</f>
        <v>17854000</v>
      </c>
      <c r="AR13" s="44">
        <f t="shared" si="2"/>
        <v>0</v>
      </c>
      <c r="AS13" s="44">
        <f t="shared" si="3"/>
        <v>8549000</v>
      </c>
      <c r="AT13" s="44">
        <f t="shared" si="4"/>
        <v>0</v>
      </c>
      <c r="AU13" s="45">
        <f>ROUND((X13*39000+Z13*39000+AB13*39000),-3)</f>
        <v>0</v>
      </c>
      <c r="AV13" s="45">
        <f>ROUND((AC13*52000+AA13*48600+Y13*52000),-3)</f>
        <v>0</v>
      </c>
      <c r="AW13" s="45">
        <f>ROUND((T13*39000+V13*39000),-3)</f>
        <v>0</v>
      </c>
      <c r="AX13" s="45">
        <f>(U13*48600+AE13*52000)</f>
        <v>0</v>
      </c>
      <c r="AY13" s="46">
        <f t="shared" si="8"/>
        <v>0</v>
      </c>
      <c r="AZ13" s="51"/>
      <c r="BA13" s="40"/>
      <c r="BB13" s="44"/>
      <c r="BC13" s="44"/>
      <c r="BD13" s="44"/>
      <c r="BE13" s="44"/>
      <c r="BF13" s="47">
        <f t="shared" si="9"/>
        <v>34890000</v>
      </c>
      <c r="BG13" s="2">
        <f t="shared" si="10"/>
        <v>171000</v>
      </c>
      <c r="BH13" s="48">
        <v>546400</v>
      </c>
      <c r="BI13" s="48">
        <v>102450</v>
      </c>
      <c r="BJ13" s="48">
        <v>68300</v>
      </c>
      <c r="BK13" s="2"/>
      <c r="BL13" s="2"/>
      <c r="BM13" s="2"/>
      <c r="BN13" s="2"/>
      <c r="BO13" s="2"/>
      <c r="BP13" s="2"/>
      <c r="BQ13" s="2"/>
      <c r="BR13" s="48"/>
      <c r="BS13" s="2"/>
      <c r="BT13" s="2"/>
      <c r="BU13" s="2">
        <v>1500000</v>
      </c>
      <c r="BV13" s="2"/>
      <c r="BW13" s="49">
        <f t="shared" si="11"/>
        <v>2388150</v>
      </c>
      <c r="BX13" s="48">
        <v>80000</v>
      </c>
      <c r="BY13" s="2"/>
      <c r="BZ13" s="49">
        <f t="shared" si="12"/>
        <v>32581850</v>
      </c>
      <c r="CA13" s="2">
        <v>100000</v>
      </c>
      <c r="CB13" s="2">
        <f t="shared" si="13"/>
        <v>18</v>
      </c>
      <c r="CC13" s="2">
        <f t="shared" si="14"/>
        <v>594000</v>
      </c>
      <c r="CD13" s="49">
        <f t="shared" si="15"/>
        <v>33275850</v>
      </c>
    </row>
    <row r="14" spans="1:82" s="91" customFormat="1" ht="50.25" customHeight="1" x14ac:dyDescent="0.25">
      <c r="A14" s="29">
        <v>4</v>
      </c>
      <c r="B14" s="30" t="s">
        <v>22</v>
      </c>
      <c r="C14" s="31" t="s">
        <v>87</v>
      </c>
      <c r="D14" s="32">
        <v>14200000</v>
      </c>
      <c r="E14" s="33">
        <v>525000</v>
      </c>
      <c r="F14" s="34">
        <v>6500000</v>
      </c>
      <c r="G14" s="33">
        <v>6490000</v>
      </c>
      <c r="H14" s="33">
        <v>525000</v>
      </c>
      <c r="I14" s="35" t="s">
        <v>17</v>
      </c>
      <c r="J14" s="37">
        <v>18</v>
      </c>
      <c r="K14" s="37">
        <v>2</v>
      </c>
      <c r="L14" s="37">
        <v>0</v>
      </c>
      <c r="M14" s="37">
        <v>0</v>
      </c>
      <c r="N14" s="37"/>
      <c r="O14" s="37">
        <v>0</v>
      </c>
      <c r="P14" s="50">
        <v>0</v>
      </c>
      <c r="Q14" s="38"/>
      <c r="R14" s="38"/>
      <c r="S14" s="38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24</v>
      </c>
      <c r="AE14" s="39">
        <v>0</v>
      </c>
      <c r="AF14" s="41">
        <v>0</v>
      </c>
      <c r="AG14" s="41">
        <v>0</v>
      </c>
      <c r="AH14" s="41">
        <v>65.683333333333337</v>
      </c>
      <c r="AI14" s="41">
        <v>48.766666666666666</v>
      </c>
      <c r="AJ14" s="35">
        <f t="shared" si="5"/>
        <v>4973000</v>
      </c>
      <c r="AK14" s="42">
        <f t="shared" si="6"/>
        <v>2448000</v>
      </c>
      <c r="AL14" s="40">
        <f t="shared" si="7"/>
        <v>649000</v>
      </c>
      <c r="AM14" s="40"/>
      <c r="AN14" s="40">
        <f>ROUND((D14)*M14/$A$5,-3)</f>
        <v>0</v>
      </c>
      <c r="AO14" s="40">
        <f>ROUND(G14*(L14)/$A$5,-3)</f>
        <v>0</v>
      </c>
      <c r="AP14" s="40">
        <f t="shared" si="0"/>
        <v>0</v>
      </c>
      <c r="AQ14" s="43">
        <f t="shared" si="1"/>
        <v>0</v>
      </c>
      <c r="AR14" s="44">
        <f t="shared" si="2"/>
        <v>0</v>
      </c>
      <c r="AS14" s="44">
        <f>ROUND(AD14*43000+AF14*43000+AH14*43000,-3)</f>
        <v>3856000</v>
      </c>
      <c r="AT14" s="44">
        <f t="shared" si="4"/>
        <v>2780000</v>
      </c>
      <c r="AU14" s="45">
        <f>ROUND((X14*39000+Z14*39000+AB14*39000),-3)</f>
        <v>0</v>
      </c>
      <c r="AV14" s="45">
        <f>ROUND((AC14*52000+AA14*48600+Y14*52000),-3)</f>
        <v>0</v>
      </c>
      <c r="AW14" s="45">
        <f>ROUND((T14*39000+V14*39000),-3)</f>
        <v>0</v>
      </c>
      <c r="AX14" s="45">
        <f>(U14*48600+AE14*52000)</f>
        <v>0</v>
      </c>
      <c r="AY14" s="46">
        <f t="shared" si="8"/>
        <v>0</v>
      </c>
      <c r="AZ14" s="40">
        <v>525000</v>
      </c>
      <c r="BA14" s="40"/>
      <c r="BB14" s="44"/>
      <c r="BC14" s="44"/>
      <c r="BD14" s="44"/>
      <c r="BE14" s="44"/>
      <c r="BF14" s="47">
        <f t="shared" si="9"/>
        <v>15231000</v>
      </c>
      <c r="BG14" s="2">
        <f t="shared" si="10"/>
        <v>72000</v>
      </c>
      <c r="BH14" s="48">
        <v>561200</v>
      </c>
      <c r="BI14" s="48">
        <v>105225</v>
      </c>
      <c r="BJ14" s="48">
        <v>70150</v>
      </c>
      <c r="BK14" s="48"/>
      <c r="BL14" s="2"/>
      <c r="BM14" s="2"/>
      <c r="BN14" s="2"/>
      <c r="BO14" s="2"/>
      <c r="BP14" s="2"/>
      <c r="BQ14" s="2"/>
      <c r="BR14" s="48"/>
      <c r="BS14" s="2"/>
      <c r="BT14" s="2"/>
      <c r="BU14" s="2">
        <v>1000000</v>
      </c>
      <c r="BV14" s="2"/>
      <c r="BW14" s="49">
        <f t="shared" si="11"/>
        <v>1808575</v>
      </c>
      <c r="BX14" s="2"/>
      <c r="BY14" s="2"/>
      <c r="BZ14" s="49">
        <f>(BF14-BW14+BX14+BY14)</f>
        <v>13422425</v>
      </c>
      <c r="CA14" s="2">
        <v>100000</v>
      </c>
      <c r="CB14" s="2">
        <f t="shared" si="13"/>
        <v>18</v>
      </c>
      <c r="CC14" s="2">
        <f t="shared" si="14"/>
        <v>594000</v>
      </c>
      <c r="CD14" s="49">
        <f t="shared" si="15"/>
        <v>14116425</v>
      </c>
    </row>
    <row r="15" spans="1:82" s="92" customFormat="1" ht="50.25" customHeight="1" x14ac:dyDescent="0.25">
      <c r="A15" s="29">
        <v>5</v>
      </c>
      <c r="B15" s="30" t="s">
        <v>40</v>
      </c>
      <c r="C15" s="29" t="s">
        <v>20</v>
      </c>
      <c r="D15" s="32">
        <v>14700000</v>
      </c>
      <c r="E15" s="33"/>
      <c r="F15" s="34">
        <v>6500000</v>
      </c>
      <c r="G15" s="33">
        <v>6830000</v>
      </c>
      <c r="H15" s="33"/>
      <c r="I15" s="35" t="s">
        <v>17</v>
      </c>
      <c r="J15" s="37">
        <v>18</v>
      </c>
      <c r="K15" s="37">
        <v>2</v>
      </c>
      <c r="L15" s="37">
        <v>0</v>
      </c>
      <c r="M15" s="37">
        <v>0</v>
      </c>
      <c r="N15" s="37"/>
      <c r="O15" s="37">
        <v>0</v>
      </c>
      <c r="P15" s="50">
        <v>0</v>
      </c>
      <c r="Q15" s="38"/>
      <c r="R15" s="38"/>
      <c r="S15" s="38">
        <v>0</v>
      </c>
      <c r="T15" s="36">
        <v>0</v>
      </c>
      <c r="U15" s="36">
        <v>0</v>
      </c>
      <c r="V15" s="36"/>
      <c r="W15" s="36"/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42</v>
      </c>
      <c r="AE15" s="36">
        <v>0</v>
      </c>
      <c r="AF15" s="52">
        <v>44</v>
      </c>
      <c r="AG15" s="52">
        <v>0</v>
      </c>
      <c r="AH15" s="52">
        <v>102.36666666666666</v>
      </c>
      <c r="AI15" s="52">
        <v>0</v>
      </c>
      <c r="AJ15" s="35">
        <f t="shared" si="5"/>
        <v>4973000</v>
      </c>
      <c r="AK15" s="42">
        <f t="shared" si="6"/>
        <v>2831000</v>
      </c>
      <c r="AL15" s="40">
        <f t="shared" si="7"/>
        <v>683000</v>
      </c>
      <c r="AM15" s="40"/>
      <c r="AN15" s="40">
        <f>ROUND((D15)*M15/$A$5,-3)</f>
        <v>0</v>
      </c>
      <c r="AO15" s="40">
        <f t="shared" si="16"/>
        <v>0</v>
      </c>
      <c r="AP15" s="40">
        <f t="shared" si="0"/>
        <v>0</v>
      </c>
      <c r="AQ15" s="43">
        <f t="shared" si="1"/>
        <v>0</v>
      </c>
      <c r="AR15" s="44">
        <f t="shared" si="2"/>
        <v>0</v>
      </c>
      <c r="AS15" s="44">
        <f>ROUND(AD15*43000+AF15*43000+AH15*43000,-3)</f>
        <v>8100000</v>
      </c>
      <c r="AT15" s="44">
        <f t="shared" si="4"/>
        <v>0</v>
      </c>
      <c r="AU15" s="45">
        <f>ROUND((X15*39000+Z15*39000+AB15*39000),-3)</f>
        <v>0</v>
      </c>
      <c r="AV15" s="45">
        <f>ROUND((AC15*52000+AA15*48600+Y15*52000),-3)</f>
        <v>0</v>
      </c>
      <c r="AW15" s="45">
        <f>ROUND((T15*39000+V15*39000),-3)</f>
        <v>0</v>
      </c>
      <c r="AX15" s="45">
        <f>(U15*48600+AE15*52000)</f>
        <v>0</v>
      </c>
      <c r="AY15" s="46">
        <f t="shared" si="8"/>
        <v>0</v>
      </c>
      <c r="AZ15" s="53"/>
      <c r="BA15" s="40">
        <f>E15*(J15+K15)/$A$5</f>
        <v>0</v>
      </c>
      <c r="BB15" s="40"/>
      <c r="BC15" s="40"/>
      <c r="BD15" s="40"/>
      <c r="BE15" s="40"/>
      <c r="BF15" s="47">
        <f t="shared" si="9"/>
        <v>16587000</v>
      </c>
      <c r="BG15" s="2">
        <f t="shared" si="10"/>
        <v>79000</v>
      </c>
      <c r="BH15" s="48">
        <v>546400</v>
      </c>
      <c r="BI15" s="48">
        <v>102450</v>
      </c>
      <c r="BJ15" s="48">
        <v>68300</v>
      </c>
      <c r="BK15" s="48"/>
      <c r="BL15" s="2"/>
      <c r="BM15" s="2"/>
      <c r="BN15" s="2"/>
      <c r="BO15" s="2"/>
      <c r="BP15" s="2"/>
      <c r="BQ15" s="2"/>
      <c r="BR15" s="48"/>
      <c r="BS15" s="48">
        <v>2022000</v>
      </c>
      <c r="BT15" s="2"/>
      <c r="BU15" s="2">
        <v>1500000</v>
      </c>
      <c r="BV15" s="2"/>
      <c r="BW15" s="49">
        <f t="shared" si="11"/>
        <v>4318150</v>
      </c>
      <c r="BX15" s="2"/>
      <c r="BY15" s="2"/>
      <c r="BZ15" s="49">
        <f t="shared" si="12"/>
        <v>12268850</v>
      </c>
      <c r="CA15" s="2">
        <v>100000</v>
      </c>
      <c r="CB15" s="2">
        <f t="shared" si="13"/>
        <v>18</v>
      </c>
      <c r="CC15" s="2">
        <f t="shared" si="14"/>
        <v>594000</v>
      </c>
      <c r="CD15" s="49">
        <f t="shared" si="15"/>
        <v>12962850</v>
      </c>
    </row>
    <row r="16" spans="1:82" s="92" customFormat="1" ht="50.25" customHeight="1" x14ac:dyDescent="0.25">
      <c r="A16" s="29">
        <v>6</v>
      </c>
      <c r="B16" s="30" t="s">
        <v>41</v>
      </c>
      <c r="C16" s="29" t="s">
        <v>20</v>
      </c>
      <c r="D16" s="32">
        <v>14700000</v>
      </c>
      <c r="E16" s="33"/>
      <c r="F16" s="34">
        <v>6500000</v>
      </c>
      <c r="G16" s="33">
        <v>6830000</v>
      </c>
      <c r="H16" s="33"/>
      <c r="I16" s="35" t="s">
        <v>17</v>
      </c>
      <c r="J16" s="37">
        <v>18</v>
      </c>
      <c r="K16" s="37">
        <v>2</v>
      </c>
      <c r="L16" s="37">
        <v>0</v>
      </c>
      <c r="M16" s="37">
        <v>0</v>
      </c>
      <c r="N16" s="37"/>
      <c r="O16" s="37">
        <v>0</v>
      </c>
      <c r="P16" s="50">
        <v>0</v>
      </c>
      <c r="Q16" s="38"/>
      <c r="R16" s="38"/>
      <c r="S16" s="38">
        <v>0</v>
      </c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>
        <v>0</v>
      </c>
      <c r="AE16" s="36">
        <v>0</v>
      </c>
      <c r="AF16" s="52">
        <v>27.133333333333326</v>
      </c>
      <c r="AG16" s="52">
        <v>0</v>
      </c>
      <c r="AH16" s="52">
        <v>120.89999999999999</v>
      </c>
      <c r="AI16" s="52">
        <v>6.6666666666666661</v>
      </c>
      <c r="AJ16" s="35">
        <f t="shared" si="5"/>
        <v>4973000</v>
      </c>
      <c r="AK16" s="42">
        <f t="shared" si="6"/>
        <v>2831000</v>
      </c>
      <c r="AL16" s="40">
        <f t="shared" si="7"/>
        <v>683000</v>
      </c>
      <c r="AM16" s="40"/>
      <c r="AN16" s="40"/>
      <c r="AO16" s="40">
        <f t="shared" si="16"/>
        <v>0</v>
      </c>
      <c r="AP16" s="40"/>
      <c r="AQ16" s="43">
        <f t="shared" si="1"/>
        <v>0</v>
      </c>
      <c r="AR16" s="44"/>
      <c r="AS16" s="44">
        <f t="shared" si="3"/>
        <v>6365000</v>
      </c>
      <c r="AT16" s="44">
        <f t="shared" si="4"/>
        <v>380000</v>
      </c>
      <c r="AU16" s="45"/>
      <c r="AV16" s="45"/>
      <c r="AW16" s="45"/>
      <c r="AX16" s="45"/>
      <c r="AY16" s="46">
        <f t="shared" si="8"/>
        <v>0</v>
      </c>
      <c r="AZ16" s="53"/>
      <c r="BA16" s="40"/>
      <c r="BB16" s="40"/>
      <c r="BC16" s="40"/>
      <c r="BD16" s="40"/>
      <c r="BE16" s="40"/>
      <c r="BF16" s="47">
        <f t="shared" si="9"/>
        <v>15232000</v>
      </c>
      <c r="BG16" s="2">
        <f t="shared" si="10"/>
        <v>73000</v>
      </c>
      <c r="BH16" s="48">
        <v>546400</v>
      </c>
      <c r="BI16" s="48">
        <v>102450</v>
      </c>
      <c r="BJ16" s="48">
        <v>68300</v>
      </c>
      <c r="BK16" s="2"/>
      <c r="BL16" s="2"/>
      <c r="BM16" s="2"/>
      <c r="BN16" s="2"/>
      <c r="BO16" s="2"/>
      <c r="BP16" s="2"/>
      <c r="BQ16" s="2"/>
      <c r="BR16" s="48"/>
      <c r="BS16" s="2"/>
      <c r="BT16" s="2"/>
      <c r="BU16" s="2"/>
      <c r="BV16" s="2"/>
      <c r="BW16" s="49">
        <f t="shared" si="11"/>
        <v>790150</v>
      </c>
      <c r="BX16" s="2"/>
      <c r="BY16" s="2"/>
      <c r="BZ16" s="49">
        <f t="shared" si="12"/>
        <v>14441850</v>
      </c>
      <c r="CA16" s="2">
        <v>100000</v>
      </c>
      <c r="CB16" s="2">
        <f t="shared" si="13"/>
        <v>18</v>
      </c>
      <c r="CC16" s="2">
        <f t="shared" si="14"/>
        <v>594000</v>
      </c>
      <c r="CD16" s="49">
        <f t="shared" si="15"/>
        <v>15135850</v>
      </c>
    </row>
    <row r="17" spans="1:82" s="92" customFormat="1" ht="50.25" customHeight="1" x14ac:dyDescent="0.25">
      <c r="A17" s="29">
        <v>7</v>
      </c>
      <c r="B17" s="30" t="s">
        <v>18</v>
      </c>
      <c r="C17" s="31" t="s">
        <v>47</v>
      </c>
      <c r="D17" s="32">
        <v>14200000</v>
      </c>
      <c r="E17" s="33">
        <v>420000</v>
      </c>
      <c r="F17" s="34">
        <v>6500000</v>
      </c>
      <c r="G17" s="33">
        <v>6490000</v>
      </c>
      <c r="H17" s="33">
        <v>420000</v>
      </c>
      <c r="I17" s="35" t="s">
        <v>17</v>
      </c>
      <c r="J17" s="37">
        <v>18</v>
      </c>
      <c r="K17" s="37">
        <v>2</v>
      </c>
      <c r="L17" s="37">
        <v>0</v>
      </c>
      <c r="M17" s="37">
        <v>0</v>
      </c>
      <c r="N17" s="37"/>
      <c r="O17" s="37">
        <v>0</v>
      </c>
      <c r="P17" s="50">
        <v>48.5</v>
      </c>
      <c r="Q17" s="50"/>
      <c r="R17" s="50"/>
      <c r="S17" s="38">
        <v>0</v>
      </c>
      <c r="T17" s="36">
        <v>0</v>
      </c>
      <c r="U17" s="36">
        <v>0</v>
      </c>
      <c r="V17" s="36"/>
      <c r="W17" s="36"/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7">
        <v>0</v>
      </c>
      <c r="AE17" s="37">
        <v>0</v>
      </c>
      <c r="AF17" s="52">
        <v>4.7333333333333343</v>
      </c>
      <c r="AG17" s="52">
        <v>0</v>
      </c>
      <c r="AH17" s="52">
        <v>8</v>
      </c>
      <c r="AI17" s="52">
        <v>0</v>
      </c>
      <c r="AJ17" s="35">
        <f t="shared" si="5"/>
        <v>4973000</v>
      </c>
      <c r="AK17" s="42">
        <f t="shared" si="6"/>
        <v>2448000</v>
      </c>
      <c r="AL17" s="40">
        <f t="shared" si="7"/>
        <v>649000</v>
      </c>
      <c r="AM17" s="40"/>
      <c r="AN17" s="40">
        <f t="shared" ref="AN17:AN26" si="17">ROUND((D17)*M17/$A$5,-3)</f>
        <v>0</v>
      </c>
      <c r="AO17" s="40">
        <f t="shared" si="16"/>
        <v>0</v>
      </c>
      <c r="AP17" s="40">
        <f t="shared" ref="AP17:AP26" si="18">ROUND(G17*N17/$A$5*85%,-3)</f>
        <v>0</v>
      </c>
      <c r="AQ17" s="43">
        <f t="shared" si="1"/>
        <v>15326000</v>
      </c>
      <c r="AR17" s="44">
        <f t="shared" ref="AR17:AR26" si="19">ROUND(Q17*301000,-3)</f>
        <v>0</v>
      </c>
      <c r="AS17" s="44">
        <f t="shared" si="3"/>
        <v>548000</v>
      </c>
      <c r="AT17" s="44">
        <f t="shared" si="4"/>
        <v>0</v>
      </c>
      <c r="AU17" s="45">
        <f t="shared" ref="AU17:AU26" si="20">ROUND((X17*39000+Z17*39000+AB17*39000),-3)</f>
        <v>0</v>
      </c>
      <c r="AV17" s="45">
        <f t="shared" ref="AV17:AV26" si="21">ROUND((AC17*52000+AA17*48600+Y17*52000),-3)</f>
        <v>0</v>
      </c>
      <c r="AW17" s="45">
        <f t="shared" ref="AW17:AW26" si="22">ROUND((T17*39000+V17*39000),-3)</f>
        <v>0</v>
      </c>
      <c r="AX17" s="45">
        <f t="shared" ref="AX17:AX26" si="23">(U17*48600+AE17*52000)</f>
        <v>0</v>
      </c>
      <c r="AY17" s="46">
        <f t="shared" si="8"/>
        <v>0</v>
      </c>
      <c r="AZ17" s="32">
        <v>420000</v>
      </c>
      <c r="BA17" s="32"/>
      <c r="BB17" s="40">
        <f>'[1]12. Tuyển sinh'!O15</f>
        <v>908000</v>
      </c>
      <c r="BC17" s="40"/>
      <c r="BD17" s="40"/>
      <c r="BE17" s="54"/>
      <c r="BF17" s="47">
        <f t="shared" si="9"/>
        <v>25272000</v>
      </c>
      <c r="BG17" s="2">
        <f t="shared" si="10"/>
        <v>123000</v>
      </c>
      <c r="BH17" s="48">
        <v>552800</v>
      </c>
      <c r="BI17" s="48">
        <v>103650</v>
      </c>
      <c r="BJ17" s="48">
        <v>69100</v>
      </c>
      <c r="BK17" s="48"/>
      <c r="BL17" s="2"/>
      <c r="BM17" s="2"/>
      <c r="BN17" s="2"/>
      <c r="BO17" s="2"/>
      <c r="BP17" s="2"/>
      <c r="BQ17" s="2"/>
      <c r="BR17" s="48"/>
      <c r="BS17" s="2"/>
      <c r="BT17" s="2"/>
      <c r="BU17" s="2">
        <v>3000000</v>
      </c>
      <c r="BV17" s="2"/>
      <c r="BW17" s="49">
        <f t="shared" si="11"/>
        <v>3848550</v>
      </c>
      <c r="BX17" s="2"/>
      <c r="BY17" s="2"/>
      <c r="BZ17" s="49">
        <f t="shared" si="12"/>
        <v>21423450</v>
      </c>
      <c r="CA17" s="2">
        <v>100000</v>
      </c>
      <c r="CB17" s="2">
        <f t="shared" si="13"/>
        <v>18</v>
      </c>
      <c r="CC17" s="2">
        <f t="shared" si="14"/>
        <v>594000</v>
      </c>
      <c r="CD17" s="49">
        <f t="shared" si="15"/>
        <v>22117450</v>
      </c>
    </row>
    <row r="18" spans="1:82" s="92" customFormat="1" ht="50.25" customHeight="1" x14ac:dyDescent="0.25">
      <c r="A18" s="29">
        <v>8</v>
      </c>
      <c r="B18" s="55" t="s">
        <v>48</v>
      </c>
      <c r="C18" s="29" t="s">
        <v>20</v>
      </c>
      <c r="D18" s="32">
        <v>13690000</v>
      </c>
      <c r="E18" s="37"/>
      <c r="F18" s="34">
        <v>6500000</v>
      </c>
      <c r="G18" s="33">
        <v>6180000</v>
      </c>
      <c r="H18" s="33"/>
      <c r="I18" s="35" t="s">
        <v>17</v>
      </c>
      <c r="J18" s="37">
        <v>18</v>
      </c>
      <c r="K18" s="37">
        <v>2</v>
      </c>
      <c r="L18" s="37">
        <v>0</v>
      </c>
      <c r="M18" s="37">
        <v>0</v>
      </c>
      <c r="N18" s="37"/>
      <c r="O18" s="37">
        <v>0</v>
      </c>
      <c r="P18" s="50">
        <v>2</v>
      </c>
      <c r="Q18" s="50"/>
      <c r="R18" s="50"/>
      <c r="S18" s="38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6">
        <v>0</v>
      </c>
      <c r="AE18" s="37">
        <v>0</v>
      </c>
      <c r="AF18" s="52">
        <v>0</v>
      </c>
      <c r="AG18" s="52">
        <v>0</v>
      </c>
      <c r="AH18" s="52">
        <v>116.80000000000001</v>
      </c>
      <c r="AI18" s="52">
        <v>0</v>
      </c>
      <c r="AJ18" s="35">
        <f t="shared" si="5"/>
        <v>4973000</v>
      </c>
      <c r="AK18" s="42">
        <f t="shared" si="6"/>
        <v>2058000</v>
      </c>
      <c r="AL18" s="40">
        <f t="shared" si="7"/>
        <v>618000</v>
      </c>
      <c r="AM18" s="40"/>
      <c r="AN18" s="40">
        <f t="shared" si="17"/>
        <v>0</v>
      </c>
      <c r="AO18" s="40">
        <f t="shared" si="16"/>
        <v>0</v>
      </c>
      <c r="AP18" s="40">
        <f t="shared" si="18"/>
        <v>0</v>
      </c>
      <c r="AQ18" s="43">
        <f>ROUND(P18*316000,-3)+ROUND(O18*316000,-3)</f>
        <v>632000</v>
      </c>
      <c r="AR18" s="44">
        <f t="shared" si="19"/>
        <v>0</v>
      </c>
      <c r="AS18" s="44">
        <f t="shared" si="3"/>
        <v>5022000</v>
      </c>
      <c r="AT18" s="44">
        <f t="shared" si="4"/>
        <v>0</v>
      </c>
      <c r="AU18" s="45">
        <f t="shared" si="20"/>
        <v>0</v>
      </c>
      <c r="AV18" s="45">
        <f t="shared" si="21"/>
        <v>0</v>
      </c>
      <c r="AW18" s="45">
        <f t="shared" si="22"/>
        <v>0</v>
      </c>
      <c r="AX18" s="45">
        <f t="shared" si="23"/>
        <v>0</v>
      </c>
      <c r="AY18" s="46">
        <f t="shared" si="8"/>
        <v>0</v>
      </c>
      <c r="AZ18" s="53"/>
      <c r="BA18" s="40">
        <f t="shared" ref="BA18:BA26" si="24">E18*(J18+K18)/$A$5</f>
        <v>0</v>
      </c>
      <c r="BB18" s="40">
        <f>'[1]12. Tuyển sinh'!O12</f>
        <v>1816000</v>
      </c>
      <c r="BC18" s="40"/>
      <c r="BD18" s="40"/>
      <c r="BE18" s="54"/>
      <c r="BF18" s="47">
        <f t="shared" si="9"/>
        <v>15119000</v>
      </c>
      <c r="BG18" s="2">
        <f t="shared" si="10"/>
        <v>72000</v>
      </c>
      <c r="BH18" s="48">
        <v>494400</v>
      </c>
      <c r="BI18" s="48">
        <v>92700</v>
      </c>
      <c r="BJ18" s="48">
        <v>61800</v>
      </c>
      <c r="BK18" s="48"/>
      <c r="BL18" s="2"/>
      <c r="BM18" s="2"/>
      <c r="BN18" s="2"/>
      <c r="BO18" s="2"/>
      <c r="BP18" s="2"/>
      <c r="BQ18" s="2"/>
      <c r="BR18" s="48"/>
      <c r="BS18" s="2"/>
      <c r="BT18" s="2"/>
      <c r="BU18" s="2">
        <v>900000</v>
      </c>
      <c r="BV18" s="2"/>
      <c r="BW18" s="49">
        <f t="shared" si="11"/>
        <v>1620900</v>
      </c>
      <c r="BX18" s="2">
        <v>80000</v>
      </c>
      <c r="BY18" s="2"/>
      <c r="BZ18" s="49">
        <f t="shared" si="12"/>
        <v>13578100</v>
      </c>
      <c r="CA18" s="2">
        <v>100000</v>
      </c>
      <c r="CB18" s="2">
        <f t="shared" si="13"/>
        <v>18</v>
      </c>
      <c r="CC18" s="2">
        <f t="shared" si="14"/>
        <v>594000</v>
      </c>
      <c r="CD18" s="49">
        <f t="shared" si="15"/>
        <v>14272100</v>
      </c>
    </row>
    <row r="19" spans="1:82" s="92" customFormat="1" ht="50.25" customHeight="1" x14ac:dyDescent="0.25">
      <c r="A19" s="29">
        <v>9</v>
      </c>
      <c r="B19" s="55" t="s">
        <v>50</v>
      </c>
      <c r="C19" s="29" t="s">
        <v>20</v>
      </c>
      <c r="D19" s="32">
        <v>13690000</v>
      </c>
      <c r="E19" s="37"/>
      <c r="F19" s="34">
        <v>6500000</v>
      </c>
      <c r="G19" s="33">
        <v>6180000</v>
      </c>
      <c r="H19" s="33"/>
      <c r="I19" s="35" t="s">
        <v>17</v>
      </c>
      <c r="J19" s="37">
        <v>18</v>
      </c>
      <c r="K19" s="37">
        <v>2</v>
      </c>
      <c r="L19" s="37">
        <v>0</v>
      </c>
      <c r="M19" s="37">
        <v>0</v>
      </c>
      <c r="N19" s="37"/>
      <c r="O19" s="37">
        <v>0</v>
      </c>
      <c r="P19" s="50">
        <v>50.5</v>
      </c>
      <c r="Q19" s="38"/>
      <c r="R19" s="38"/>
      <c r="S19" s="38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6">
        <v>0</v>
      </c>
      <c r="Z19" s="36">
        <v>0</v>
      </c>
      <c r="AA19" s="36">
        <v>0</v>
      </c>
      <c r="AB19" s="36">
        <v>0</v>
      </c>
      <c r="AC19" s="36">
        <v>0</v>
      </c>
      <c r="AD19" s="37">
        <v>0</v>
      </c>
      <c r="AE19" s="37">
        <v>0</v>
      </c>
      <c r="AF19" s="52">
        <v>23.200000000000003</v>
      </c>
      <c r="AG19" s="52">
        <v>0</v>
      </c>
      <c r="AH19" s="52">
        <v>8.9333333333333371</v>
      </c>
      <c r="AI19" s="52">
        <v>2.7333333333333334</v>
      </c>
      <c r="AJ19" s="35">
        <f t="shared" si="5"/>
        <v>4973000</v>
      </c>
      <c r="AK19" s="42">
        <f t="shared" si="6"/>
        <v>2058000</v>
      </c>
      <c r="AL19" s="40">
        <f t="shared" si="7"/>
        <v>618000</v>
      </c>
      <c r="AM19" s="40"/>
      <c r="AN19" s="40">
        <f t="shared" si="17"/>
        <v>0</v>
      </c>
      <c r="AO19" s="40">
        <f t="shared" si="16"/>
        <v>0</v>
      </c>
      <c r="AP19" s="40">
        <f t="shared" si="18"/>
        <v>0</v>
      </c>
      <c r="AQ19" s="43">
        <f>ROUND(P19*316000,-3)</f>
        <v>15958000</v>
      </c>
      <c r="AR19" s="44">
        <f t="shared" si="19"/>
        <v>0</v>
      </c>
      <c r="AS19" s="44">
        <f t="shared" si="3"/>
        <v>1382000</v>
      </c>
      <c r="AT19" s="44">
        <f t="shared" si="4"/>
        <v>156000</v>
      </c>
      <c r="AU19" s="45">
        <f t="shared" si="20"/>
        <v>0</v>
      </c>
      <c r="AV19" s="45">
        <f t="shared" si="21"/>
        <v>0</v>
      </c>
      <c r="AW19" s="45">
        <f t="shared" si="22"/>
        <v>0</v>
      </c>
      <c r="AX19" s="45">
        <f t="shared" si="23"/>
        <v>0</v>
      </c>
      <c r="AY19" s="46">
        <f t="shared" si="8"/>
        <v>0</v>
      </c>
      <c r="AZ19" s="53"/>
      <c r="BA19" s="40">
        <f t="shared" si="24"/>
        <v>0</v>
      </c>
      <c r="BB19" s="35">
        <f>'[1]12. Tuyển sinh'!G9</f>
        <v>908160</v>
      </c>
      <c r="BC19" s="35">
        <f>'[1]12. Tuyển sinh'!O13-'[1]12. Tuyển sinh'!G9</f>
        <v>1446840</v>
      </c>
      <c r="BD19" s="35"/>
      <c r="BE19" s="54"/>
      <c r="BF19" s="47">
        <f t="shared" si="9"/>
        <v>27500000</v>
      </c>
      <c r="BG19" s="2">
        <f t="shared" si="10"/>
        <v>134000</v>
      </c>
      <c r="BH19" s="48">
        <v>494400</v>
      </c>
      <c r="BI19" s="48">
        <v>92700</v>
      </c>
      <c r="BJ19" s="48">
        <v>61800</v>
      </c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>
        <v>1200000</v>
      </c>
      <c r="BV19" s="48"/>
      <c r="BW19" s="56">
        <f t="shared" si="11"/>
        <v>1982900</v>
      </c>
      <c r="BX19" s="48"/>
      <c r="BY19" s="48"/>
      <c r="BZ19" s="56">
        <f t="shared" si="12"/>
        <v>25517100</v>
      </c>
      <c r="CA19" s="2">
        <v>100000</v>
      </c>
      <c r="CB19" s="2">
        <f t="shared" si="13"/>
        <v>18</v>
      </c>
      <c r="CC19" s="2">
        <f t="shared" si="14"/>
        <v>594000</v>
      </c>
      <c r="CD19" s="56">
        <f t="shared" si="15"/>
        <v>26211100</v>
      </c>
    </row>
    <row r="20" spans="1:82" s="92" customFormat="1" ht="50.25" customHeight="1" x14ac:dyDescent="0.25">
      <c r="A20" s="29">
        <v>10</v>
      </c>
      <c r="B20" s="55" t="s">
        <v>54</v>
      </c>
      <c r="C20" s="29" t="s">
        <v>20</v>
      </c>
      <c r="D20" s="32">
        <v>14200000</v>
      </c>
      <c r="E20" s="37"/>
      <c r="F20" s="34">
        <v>6500000</v>
      </c>
      <c r="G20" s="33">
        <v>6490000</v>
      </c>
      <c r="H20" s="33"/>
      <c r="I20" s="35" t="s">
        <v>17</v>
      </c>
      <c r="J20" s="37">
        <v>18</v>
      </c>
      <c r="K20" s="37">
        <v>2</v>
      </c>
      <c r="L20" s="37">
        <v>0</v>
      </c>
      <c r="M20" s="37">
        <v>0</v>
      </c>
      <c r="N20" s="37"/>
      <c r="O20" s="37">
        <v>0</v>
      </c>
      <c r="P20" s="50">
        <v>0</v>
      </c>
      <c r="Q20" s="38"/>
      <c r="R20" s="38"/>
      <c r="S20" s="38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37">
        <v>0</v>
      </c>
      <c r="AE20" s="37">
        <v>0</v>
      </c>
      <c r="AF20" s="52">
        <v>4</v>
      </c>
      <c r="AG20" s="52">
        <v>0</v>
      </c>
      <c r="AH20" s="52">
        <v>102.03333333333333</v>
      </c>
      <c r="AI20" s="52">
        <v>0</v>
      </c>
      <c r="AJ20" s="35">
        <f t="shared" si="5"/>
        <v>4973000</v>
      </c>
      <c r="AK20" s="42">
        <f t="shared" si="6"/>
        <v>2448000</v>
      </c>
      <c r="AL20" s="40">
        <f t="shared" si="7"/>
        <v>649000</v>
      </c>
      <c r="AM20" s="40"/>
      <c r="AN20" s="40">
        <f t="shared" si="17"/>
        <v>0</v>
      </c>
      <c r="AO20" s="40">
        <f t="shared" si="16"/>
        <v>0</v>
      </c>
      <c r="AP20" s="40">
        <f t="shared" si="18"/>
        <v>0</v>
      </c>
      <c r="AQ20" s="43">
        <f t="shared" si="1"/>
        <v>0</v>
      </c>
      <c r="AR20" s="44">
        <f t="shared" si="19"/>
        <v>0</v>
      </c>
      <c r="AS20" s="44">
        <f t="shared" si="3"/>
        <v>4559000</v>
      </c>
      <c r="AT20" s="44">
        <f t="shared" si="4"/>
        <v>0</v>
      </c>
      <c r="AU20" s="45">
        <f t="shared" si="20"/>
        <v>0</v>
      </c>
      <c r="AV20" s="45">
        <f t="shared" si="21"/>
        <v>0</v>
      </c>
      <c r="AW20" s="45">
        <f t="shared" si="22"/>
        <v>0</v>
      </c>
      <c r="AX20" s="45">
        <f t="shared" si="23"/>
        <v>0</v>
      </c>
      <c r="AY20" s="46">
        <f t="shared" si="8"/>
        <v>0</v>
      </c>
      <c r="AZ20" s="53"/>
      <c r="BA20" s="40">
        <f t="shared" si="24"/>
        <v>0</v>
      </c>
      <c r="BB20" s="35"/>
      <c r="BC20" s="35">
        <f>'[1]12. Tuyển sinh'!O10</f>
        <v>296000</v>
      </c>
      <c r="BD20" s="35"/>
      <c r="BE20" s="54"/>
      <c r="BF20" s="47">
        <f t="shared" si="9"/>
        <v>12925000</v>
      </c>
      <c r="BG20" s="2">
        <f t="shared" si="10"/>
        <v>61000</v>
      </c>
      <c r="BH20" s="48">
        <v>519200</v>
      </c>
      <c r="BI20" s="48">
        <v>97350</v>
      </c>
      <c r="BJ20" s="48">
        <v>64900</v>
      </c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56">
        <f t="shared" si="11"/>
        <v>742450</v>
      </c>
      <c r="BX20" s="48"/>
      <c r="BY20" s="48"/>
      <c r="BZ20" s="56">
        <f t="shared" si="12"/>
        <v>12182550</v>
      </c>
      <c r="CA20" s="2">
        <v>100000</v>
      </c>
      <c r="CB20" s="2">
        <f t="shared" si="13"/>
        <v>18</v>
      </c>
      <c r="CC20" s="2">
        <f t="shared" si="14"/>
        <v>594000</v>
      </c>
      <c r="CD20" s="56">
        <f t="shared" si="15"/>
        <v>12876550</v>
      </c>
    </row>
    <row r="21" spans="1:82" s="92" customFormat="1" ht="50.25" customHeight="1" x14ac:dyDescent="0.25">
      <c r="A21" s="29">
        <v>11</v>
      </c>
      <c r="B21" s="55" t="s">
        <v>55</v>
      </c>
      <c r="C21" s="29" t="s">
        <v>20</v>
      </c>
      <c r="D21" s="32">
        <v>14200000</v>
      </c>
      <c r="E21" s="37"/>
      <c r="F21" s="34">
        <v>6500000</v>
      </c>
      <c r="G21" s="33">
        <v>6490000</v>
      </c>
      <c r="H21" s="33"/>
      <c r="I21" s="35" t="s">
        <v>17</v>
      </c>
      <c r="J21" s="37">
        <v>18</v>
      </c>
      <c r="K21" s="37">
        <v>2</v>
      </c>
      <c r="L21" s="37">
        <v>0</v>
      </c>
      <c r="M21" s="37">
        <v>0</v>
      </c>
      <c r="N21" s="37"/>
      <c r="O21" s="37">
        <v>0</v>
      </c>
      <c r="P21" s="50">
        <v>0</v>
      </c>
      <c r="Q21" s="38"/>
      <c r="R21" s="38"/>
      <c r="S21" s="44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7">
        <v>0</v>
      </c>
      <c r="AE21" s="37">
        <v>0</v>
      </c>
      <c r="AF21" s="52">
        <v>1</v>
      </c>
      <c r="AG21" s="52">
        <v>0</v>
      </c>
      <c r="AH21" s="52">
        <v>144.53333333333333</v>
      </c>
      <c r="AI21" s="52">
        <v>0</v>
      </c>
      <c r="AJ21" s="35">
        <f t="shared" si="5"/>
        <v>4973000</v>
      </c>
      <c r="AK21" s="42">
        <f t="shared" si="6"/>
        <v>2448000</v>
      </c>
      <c r="AL21" s="40">
        <f t="shared" si="7"/>
        <v>649000</v>
      </c>
      <c r="AM21" s="40"/>
      <c r="AN21" s="40">
        <f t="shared" si="17"/>
        <v>0</v>
      </c>
      <c r="AO21" s="40">
        <f t="shared" si="16"/>
        <v>0</v>
      </c>
      <c r="AP21" s="40">
        <f t="shared" si="18"/>
        <v>0</v>
      </c>
      <c r="AQ21" s="43">
        <f t="shared" si="1"/>
        <v>0</v>
      </c>
      <c r="AR21" s="44">
        <f t="shared" si="19"/>
        <v>0</v>
      </c>
      <c r="AS21" s="44">
        <f t="shared" si="3"/>
        <v>6258000</v>
      </c>
      <c r="AT21" s="44">
        <f>ROUND(AE21*54000+AG21*54000+AI21*57000,-3)</f>
        <v>0</v>
      </c>
      <c r="AU21" s="45">
        <f t="shared" si="20"/>
        <v>0</v>
      </c>
      <c r="AV21" s="45">
        <f t="shared" si="21"/>
        <v>0</v>
      </c>
      <c r="AW21" s="45">
        <f t="shared" si="22"/>
        <v>0</v>
      </c>
      <c r="AX21" s="45">
        <f t="shared" si="23"/>
        <v>0</v>
      </c>
      <c r="AY21" s="46">
        <f t="shared" si="8"/>
        <v>0</v>
      </c>
      <c r="AZ21" s="53"/>
      <c r="BA21" s="40">
        <f t="shared" si="24"/>
        <v>0</v>
      </c>
      <c r="BB21" s="35"/>
      <c r="BC21" s="35"/>
      <c r="BD21" s="35"/>
      <c r="BE21" s="54"/>
      <c r="BF21" s="47">
        <f t="shared" si="9"/>
        <v>14328000</v>
      </c>
      <c r="BG21" s="2">
        <f t="shared" si="10"/>
        <v>68000</v>
      </c>
      <c r="BH21" s="48">
        <v>519200</v>
      </c>
      <c r="BI21" s="48">
        <v>97350</v>
      </c>
      <c r="BJ21" s="48">
        <v>64900</v>
      </c>
      <c r="BK21" s="2"/>
      <c r="BL21" s="2"/>
      <c r="BM21" s="2"/>
      <c r="BN21" s="2"/>
      <c r="BO21" s="2"/>
      <c r="BP21" s="2"/>
      <c r="BQ21" s="2"/>
      <c r="BR21" s="48"/>
      <c r="BS21" s="2"/>
      <c r="BT21" s="2"/>
      <c r="BU21" s="2"/>
      <c r="BV21" s="2"/>
      <c r="BW21" s="49">
        <f t="shared" si="11"/>
        <v>749450</v>
      </c>
      <c r="BX21" s="2"/>
      <c r="BY21" s="2"/>
      <c r="BZ21" s="49">
        <f t="shared" si="12"/>
        <v>13578550</v>
      </c>
      <c r="CA21" s="2">
        <v>100000</v>
      </c>
      <c r="CB21" s="2">
        <f t="shared" si="13"/>
        <v>18</v>
      </c>
      <c r="CC21" s="2">
        <f t="shared" si="14"/>
        <v>594000</v>
      </c>
      <c r="CD21" s="49">
        <f t="shared" si="15"/>
        <v>14272550</v>
      </c>
    </row>
    <row r="22" spans="1:82" s="92" customFormat="1" ht="50.25" customHeight="1" x14ac:dyDescent="0.25">
      <c r="A22" s="29">
        <v>12</v>
      </c>
      <c r="B22" s="55" t="s">
        <v>58</v>
      </c>
      <c r="C22" s="29" t="s">
        <v>20</v>
      </c>
      <c r="D22" s="32">
        <v>14700000</v>
      </c>
      <c r="E22" s="37"/>
      <c r="F22" s="34">
        <v>6500000</v>
      </c>
      <c r="G22" s="33">
        <v>6830000</v>
      </c>
      <c r="H22" s="33"/>
      <c r="I22" s="35" t="s">
        <v>53</v>
      </c>
      <c r="J22" s="37">
        <v>18</v>
      </c>
      <c r="K22" s="37">
        <v>2</v>
      </c>
      <c r="L22" s="37">
        <v>0</v>
      </c>
      <c r="M22" s="37">
        <v>0</v>
      </c>
      <c r="N22" s="37"/>
      <c r="O22" s="37">
        <v>0</v>
      </c>
      <c r="P22" s="50">
        <v>0</v>
      </c>
      <c r="Q22" s="38"/>
      <c r="R22" s="38"/>
      <c r="S22" s="38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7">
        <v>0</v>
      </c>
      <c r="AE22" s="37">
        <v>0</v>
      </c>
      <c r="AF22" s="52">
        <v>0</v>
      </c>
      <c r="AG22" s="52">
        <v>0</v>
      </c>
      <c r="AH22" s="52">
        <v>89</v>
      </c>
      <c r="AI22" s="52">
        <v>0</v>
      </c>
      <c r="AJ22" s="35">
        <f t="shared" si="5"/>
        <v>4973000</v>
      </c>
      <c r="AK22" s="42">
        <f t="shared" si="6"/>
        <v>1415000</v>
      </c>
      <c r="AL22" s="40">
        <f t="shared" si="7"/>
        <v>683000</v>
      </c>
      <c r="AM22" s="40"/>
      <c r="AN22" s="40">
        <f t="shared" si="17"/>
        <v>0</v>
      </c>
      <c r="AO22" s="40">
        <f t="shared" si="16"/>
        <v>0</v>
      </c>
      <c r="AP22" s="40">
        <f t="shared" si="18"/>
        <v>0</v>
      </c>
      <c r="AQ22" s="43">
        <f t="shared" si="1"/>
        <v>0</v>
      </c>
      <c r="AR22" s="44">
        <f t="shared" si="19"/>
        <v>0</v>
      </c>
      <c r="AS22" s="44">
        <f t="shared" si="3"/>
        <v>3827000</v>
      </c>
      <c r="AT22" s="44">
        <f t="shared" si="4"/>
        <v>0</v>
      </c>
      <c r="AU22" s="45">
        <f t="shared" si="20"/>
        <v>0</v>
      </c>
      <c r="AV22" s="45">
        <f t="shared" si="21"/>
        <v>0</v>
      </c>
      <c r="AW22" s="45">
        <f t="shared" si="22"/>
        <v>0</v>
      </c>
      <c r="AX22" s="45">
        <f t="shared" si="23"/>
        <v>0</v>
      </c>
      <c r="AY22" s="46">
        <f t="shared" si="8"/>
        <v>-599000</v>
      </c>
      <c r="AZ22" s="53"/>
      <c r="BA22" s="40">
        <f t="shared" si="24"/>
        <v>0</v>
      </c>
      <c r="BB22" s="35"/>
      <c r="BC22" s="35">
        <f>'[1]12. Tuyển sinh'!O11</f>
        <v>296000</v>
      </c>
      <c r="BD22" s="35"/>
      <c r="BE22" s="54"/>
      <c r="BF22" s="47">
        <f t="shared" si="9"/>
        <v>10595000</v>
      </c>
      <c r="BG22" s="2">
        <f t="shared" si="10"/>
        <v>49000</v>
      </c>
      <c r="BH22" s="48">
        <v>546400</v>
      </c>
      <c r="BI22" s="48">
        <v>102450</v>
      </c>
      <c r="BJ22" s="48">
        <v>68300</v>
      </c>
      <c r="BK22" s="48"/>
      <c r="BL22" s="2"/>
      <c r="BM22" s="2"/>
      <c r="BN22" s="2"/>
      <c r="BO22" s="2"/>
      <c r="BP22" s="2"/>
      <c r="BQ22" s="2"/>
      <c r="BR22" s="48"/>
      <c r="BS22" s="2"/>
      <c r="BT22" s="2"/>
      <c r="BU22" s="2"/>
      <c r="BV22" s="2"/>
      <c r="BW22" s="49">
        <f t="shared" si="11"/>
        <v>766150</v>
      </c>
      <c r="BX22" s="2"/>
      <c r="BY22" s="2"/>
      <c r="BZ22" s="49">
        <f t="shared" si="12"/>
        <v>9828850</v>
      </c>
      <c r="CA22" s="2">
        <v>100000</v>
      </c>
      <c r="CB22" s="2">
        <f t="shared" si="13"/>
        <v>18</v>
      </c>
      <c r="CC22" s="2">
        <f>CB22*$CC$5</f>
        <v>594000</v>
      </c>
      <c r="CD22" s="49">
        <f>BZ22+CC22+CA22</f>
        <v>10522850</v>
      </c>
    </row>
    <row r="23" spans="1:82" s="92" customFormat="1" ht="50.25" customHeight="1" x14ac:dyDescent="0.25">
      <c r="A23" s="29">
        <v>13</v>
      </c>
      <c r="B23" s="55" t="s">
        <v>114</v>
      </c>
      <c r="C23" s="29" t="s">
        <v>115</v>
      </c>
      <c r="D23" s="32">
        <v>13690000</v>
      </c>
      <c r="E23" s="37"/>
      <c r="F23" s="34">
        <v>6500000</v>
      </c>
      <c r="G23" s="33">
        <v>6180000</v>
      </c>
      <c r="H23" s="33"/>
      <c r="I23" s="35" t="s">
        <v>17</v>
      </c>
      <c r="J23" s="37"/>
      <c r="K23" s="37">
        <v>0</v>
      </c>
      <c r="L23" s="37"/>
      <c r="M23" s="37">
        <v>0</v>
      </c>
      <c r="N23" s="37">
        <v>20</v>
      </c>
      <c r="O23" s="37"/>
      <c r="P23" s="50">
        <v>0</v>
      </c>
      <c r="Q23" s="38"/>
      <c r="R23" s="38"/>
      <c r="S23" s="38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7">
        <v>0</v>
      </c>
      <c r="AE23" s="37">
        <v>0</v>
      </c>
      <c r="AF23" s="52">
        <v>0</v>
      </c>
      <c r="AG23" s="52">
        <v>0</v>
      </c>
      <c r="AH23" s="52">
        <v>0</v>
      </c>
      <c r="AI23" s="52">
        <v>0</v>
      </c>
      <c r="AJ23" s="35">
        <f t="shared" si="5"/>
        <v>0</v>
      </c>
      <c r="AK23" s="42">
        <f t="shared" si="6"/>
        <v>0</v>
      </c>
      <c r="AL23" s="40">
        <f t="shared" si="7"/>
        <v>0</v>
      </c>
      <c r="AM23" s="40"/>
      <c r="AN23" s="40">
        <f t="shared" si="17"/>
        <v>0</v>
      </c>
      <c r="AO23" s="40"/>
      <c r="AP23" s="40">
        <f>ROUND(G23*N23/$A$5*85%,-3)</f>
        <v>5253000</v>
      </c>
      <c r="AQ23" s="43">
        <f t="shared" si="1"/>
        <v>0</v>
      </c>
      <c r="AR23" s="44"/>
      <c r="AS23" s="44">
        <f t="shared" si="3"/>
        <v>0</v>
      </c>
      <c r="AT23" s="44">
        <f t="shared" si="4"/>
        <v>0</v>
      </c>
      <c r="AU23" s="45"/>
      <c r="AV23" s="45"/>
      <c r="AW23" s="45"/>
      <c r="AX23" s="45"/>
      <c r="AY23" s="46">
        <f t="shared" si="8"/>
        <v>0</v>
      </c>
      <c r="AZ23" s="53"/>
      <c r="BA23" s="40"/>
      <c r="BB23" s="35"/>
      <c r="BC23" s="35"/>
      <c r="BD23" s="35"/>
      <c r="BE23" s="54"/>
      <c r="BF23" s="47">
        <f t="shared" si="9"/>
        <v>5253000</v>
      </c>
      <c r="BG23" s="2">
        <f t="shared" si="10"/>
        <v>26000</v>
      </c>
      <c r="BH23" s="48"/>
      <c r="BI23" s="48"/>
      <c r="BJ23" s="48"/>
      <c r="BK23" s="48"/>
      <c r="BL23" s="2"/>
      <c r="BM23" s="2"/>
      <c r="BN23" s="2"/>
      <c r="BO23" s="2"/>
      <c r="BP23" s="2"/>
      <c r="BQ23" s="2"/>
      <c r="BR23" s="48"/>
      <c r="BS23" s="2"/>
      <c r="BT23" s="2"/>
      <c r="BU23" s="2"/>
      <c r="BV23" s="2"/>
      <c r="BW23" s="49">
        <f t="shared" ref="BW23" si="25">SUM(BG23:BV23)</f>
        <v>26000</v>
      </c>
      <c r="BX23" s="2"/>
      <c r="BY23" s="2"/>
      <c r="BZ23" s="49">
        <f t="shared" ref="BZ23" si="26">(BF23-BW23+BX23+BY23)</f>
        <v>5227000</v>
      </c>
      <c r="CA23" s="2"/>
      <c r="CB23" s="2">
        <v>18</v>
      </c>
      <c r="CC23" s="2">
        <f>CB23*$CC$5</f>
        <v>594000</v>
      </c>
      <c r="CD23" s="49">
        <f>BZ23+CC23+CA23</f>
        <v>5821000</v>
      </c>
    </row>
    <row r="24" spans="1:82" s="92" customFormat="1" ht="50.25" customHeight="1" x14ac:dyDescent="0.25">
      <c r="A24" s="29">
        <v>14</v>
      </c>
      <c r="B24" s="30" t="s">
        <v>23</v>
      </c>
      <c r="C24" s="29" t="s">
        <v>51</v>
      </c>
      <c r="D24" s="37">
        <v>9160000</v>
      </c>
      <c r="E24" s="37"/>
      <c r="F24" s="34">
        <v>6500000</v>
      </c>
      <c r="G24" s="33">
        <v>5860000</v>
      </c>
      <c r="H24" s="33"/>
      <c r="I24" s="35" t="s">
        <v>17</v>
      </c>
      <c r="J24" s="37">
        <v>18</v>
      </c>
      <c r="K24" s="37">
        <v>2</v>
      </c>
      <c r="L24" s="37"/>
      <c r="M24" s="37">
        <v>0</v>
      </c>
      <c r="N24" s="37"/>
      <c r="O24" s="37">
        <v>0</v>
      </c>
      <c r="P24" s="50">
        <v>48.5</v>
      </c>
      <c r="Q24" s="38"/>
      <c r="R24" s="38"/>
      <c r="S24" s="38">
        <v>0</v>
      </c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57"/>
      <c r="AI24" s="36"/>
      <c r="AJ24" s="35">
        <f>ROUND(F24*(J24)/$A$5,-3)</f>
        <v>5850000</v>
      </c>
      <c r="AK24" s="42">
        <f>ROUND(IF(I24="A",(D24-F24)*(J24)/$A$5,IF(I24="B",(D24-F24)*0.5*(J24)/$A$5*$B$5,IF(I24="C",0))),-3)</f>
        <v>2394000</v>
      </c>
      <c r="AL24" s="40">
        <f t="shared" si="7"/>
        <v>586000</v>
      </c>
      <c r="AM24" s="40"/>
      <c r="AN24" s="40">
        <f t="shared" si="17"/>
        <v>0</v>
      </c>
      <c r="AO24" s="40">
        <f t="shared" si="16"/>
        <v>0</v>
      </c>
      <c r="AP24" s="40">
        <f t="shared" si="18"/>
        <v>0</v>
      </c>
      <c r="AQ24" s="43">
        <f t="shared" si="1"/>
        <v>15326000</v>
      </c>
      <c r="AR24" s="44">
        <f t="shared" si="19"/>
        <v>0</v>
      </c>
      <c r="AS24" s="44">
        <f t="shared" si="3"/>
        <v>0</v>
      </c>
      <c r="AT24" s="44">
        <f t="shared" si="4"/>
        <v>0</v>
      </c>
      <c r="AU24" s="45">
        <f t="shared" si="20"/>
        <v>0</v>
      </c>
      <c r="AV24" s="45">
        <f t="shared" si="21"/>
        <v>0</v>
      </c>
      <c r="AW24" s="45">
        <f t="shared" si="22"/>
        <v>0</v>
      </c>
      <c r="AX24" s="45">
        <f t="shared" si="23"/>
        <v>0</v>
      </c>
      <c r="AY24" s="46">
        <f t="shared" si="8"/>
        <v>0</v>
      </c>
      <c r="AZ24" s="53"/>
      <c r="BA24" s="40">
        <f t="shared" si="24"/>
        <v>0</v>
      </c>
      <c r="BB24" s="40"/>
      <c r="BC24" s="40"/>
      <c r="BD24" s="40"/>
      <c r="BE24" s="54"/>
      <c r="BF24" s="47">
        <f t="shared" si="9"/>
        <v>24156000</v>
      </c>
      <c r="BG24" s="2">
        <f t="shared" si="10"/>
        <v>118000</v>
      </c>
      <c r="BH24" s="48">
        <v>468800</v>
      </c>
      <c r="BI24" s="48">
        <v>87900</v>
      </c>
      <c r="BJ24" s="48">
        <v>58600</v>
      </c>
      <c r="BK24" s="48"/>
      <c r="BL24" s="2"/>
      <c r="BM24" s="2"/>
      <c r="BN24" s="2"/>
      <c r="BO24" s="2"/>
      <c r="BP24" s="2"/>
      <c r="BQ24" s="2"/>
      <c r="BR24" s="48"/>
      <c r="BS24" s="2"/>
      <c r="BT24" s="2"/>
      <c r="BU24" s="2">
        <v>1200000</v>
      </c>
      <c r="BV24" s="2"/>
      <c r="BW24" s="49">
        <f t="shared" si="11"/>
        <v>1933300</v>
      </c>
      <c r="BX24" s="2"/>
      <c r="BY24" s="2"/>
      <c r="BZ24" s="49">
        <f t="shared" si="12"/>
        <v>22222700</v>
      </c>
      <c r="CA24" s="2">
        <v>100000</v>
      </c>
      <c r="CB24" s="2">
        <f t="shared" si="13"/>
        <v>18</v>
      </c>
      <c r="CC24" s="2">
        <f t="shared" si="14"/>
        <v>594000</v>
      </c>
      <c r="CD24" s="49">
        <f t="shared" si="15"/>
        <v>22916700</v>
      </c>
    </row>
    <row r="25" spans="1:82" s="92" customFormat="1" ht="50.25" customHeight="1" x14ac:dyDescent="0.25">
      <c r="A25" s="29">
        <v>15</v>
      </c>
      <c r="B25" s="57" t="s">
        <v>43</v>
      </c>
      <c r="C25" s="29" t="s">
        <v>51</v>
      </c>
      <c r="D25" s="37">
        <v>8740000</v>
      </c>
      <c r="E25" s="37"/>
      <c r="F25" s="34">
        <v>6500000</v>
      </c>
      <c r="G25" s="33">
        <v>5580000</v>
      </c>
      <c r="H25" s="33"/>
      <c r="I25" s="35" t="s">
        <v>17</v>
      </c>
      <c r="J25" s="37">
        <v>18</v>
      </c>
      <c r="K25" s="37">
        <v>2</v>
      </c>
      <c r="L25" s="37">
        <v>0</v>
      </c>
      <c r="M25" s="37">
        <v>0</v>
      </c>
      <c r="N25" s="37"/>
      <c r="O25" s="37"/>
      <c r="P25" s="50">
        <v>48.5</v>
      </c>
      <c r="Q25" s="38"/>
      <c r="R25" s="38"/>
      <c r="S25" s="38">
        <v>0</v>
      </c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5">
        <f>ROUND(F25*(J25)/$A$5,-3)</f>
        <v>5850000</v>
      </c>
      <c r="AK25" s="42">
        <f>ROUND(IF(I25="A",(D25-F25)*(J25)/$A$5,IF(I25="B",(D25-F25)*0.5*(J25)/$A$5*$B$5,IF(I25="C",0))),-3)</f>
        <v>2016000</v>
      </c>
      <c r="AL25" s="40">
        <f t="shared" si="7"/>
        <v>558000</v>
      </c>
      <c r="AM25" s="40"/>
      <c r="AN25" s="40">
        <f t="shared" si="17"/>
        <v>0</v>
      </c>
      <c r="AO25" s="40">
        <f t="shared" si="16"/>
        <v>0</v>
      </c>
      <c r="AP25" s="40">
        <f t="shared" si="18"/>
        <v>0</v>
      </c>
      <c r="AQ25" s="43">
        <f t="shared" si="1"/>
        <v>15326000</v>
      </c>
      <c r="AR25" s="44">
        <f t="shared" si="19"/>
        <v>0</v>
      </c>
      <c r="AS25" s="44">
        <f t="shared" si="3"/>
        <v>0</v>
      </c>
      <c r="AT25" s="44">
        <f t="shared" si="4"/>
        <v>0</v>
      </c>
      <c r="AU25" s="45">
        <f t="shared" si="20"/>
        <v>0</v>
      </c>
      <c r="AV25" s="45">
        <f t="shared" si="21"/>
        <v>0</v>
      </c>
      <c r="AW25" s="45">
        <f t="shared" si="22"/>
        <v>0</v>
      </c>
      <c r="AX25" s="45">
        <f t="shared" si="23"/>
        <v>0</v>
      </c>
      <c r="AY25" s="46">
        <f t="shared" si="8"/>
        <v>0</v>
      </c>
      <c r="AZ25" s="51"/>
      <c r="BA25" s="40">
        <f t="shared" si="24"/>
        <v>0</v>
      </c>
      <c r="BB25" s="40">
        <f>'[1]12. Tuyển sinh'!O14</f>
        <v>275000</v>
      </c>
      <c r="BC25" s="40"/>
      <c r="BD25" s="40"/>
      <c r="BE25" s="54"/>
      <c r="BF25" s="47">
        <f t="shared" si="9"/>
        <v>24025000</v>
      </c>
      <c r="BG25" s="2">
        <f t="shared" si="10"/>
        <v>117000</v>
      </c>
      <c r="BH25" s="48">
        <v>446400</v>
      </c>
      <c r="BI25" s="48">
        <v>83700</v>
      </c>
      <c r="BJ25" s="48">
        <v>55800</v>
      </c>
      <c r="BK25" s="48"/>
      <c r="BL25" s="2"/>
      <c r="BM25" s="2"/>
      <c r="BN25" s="2"/>
      <c r="BO25" s="2"/>
      <c r="BP25" s="2"/>
      <c r="BQ25" s="2"/>
      <c r="BR25" s="48"/>
      <c r="BS25" s="2"/>
      <c r="BT25" s="2"/>
      <c r="BU25" s="2">
        <v>1000000</v>
      </c>
      <c r="BV25" s="2"/>
      <c r="BW25" s="49">
        <f t="shared" ref="BW25:BW26" si="27">SUM(BG25:BV25)</f>
        <v>1702900</v>
      </c>
      <c r="BX25" s="2"/>
      <c r="BY25" s="2"/>
      <c r="BZ25" s="49">
        <f t="shared" si="12"/>
        <v>22322100</v>
      </c>
      <c r="CA25" s="2">
        <v>100000</v>
      </c>
      <c r="CB25" s="2">
        <f t="shared" si="13"/>
        <v>18</v>
      </c>
      <c r="CC25" s="2">
        <f t="shared" si="14"/>
        <v>594000</v>
      </c>
      <c r="CD25" s="49">
        <f t="shared" si="15"/>
        <v>23016100</v>
      </c>
    </row>
    <row r="26" spans="1:82" s="92" customFormat="1" ht="50.25" customHeight="1" x14ac:dyDescent="0.25">
      <c r="A26" s="29">
        <v>16</v>
      </c>
      <c r="B26" s="55" t="s">
        <v>49</v>
      </c>
      <c r="C26" s="29" t="s">
        <v>51</v>
      </c>
      <c r="D26" s="37">
        <v>8740000</v>
      </c>
      <c r="E26" s="37"/>
      <c r="F26" s="34">
        <v>6500000</v>
      </c>
      <c r="G26" s="33">
        <v>5580000</v>
      </c>
      <c r="H26" s="33"/>
      <c r="I26" s="35" t="s">
        <v>17</v>
      </c>
      <c r="J26" s="37">
        <v>18</v>
      </c>
      <c r="K26" s="37">
        <v>2</v>
      </c>
      <c r="L26" s="37">
        <v>0</v>
      </c>
      <c r="M26" s="37">
        <v>0</v>
      </c>
      <c r="N26" s="37"/>
      <c r="O26" s="37">
        <v>0</v>
      </c>
      <c r="P26" s="50">
        <v>48.5</v>
      </c>
      <c r="Q26" s="38"/>
      <c r="R26" s="38"/>
      <c r="S26" s="38">
        <v>0</v>
      </c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5">
        <f>ROUND(F26*(J26)/$A$5,-3)</f>
        <v>5850000</v>
      </c>
      <c r="AK26" s="42">
        <f>ROUND(IF(I26="A",(D26-F26)*(J26)/$A$5,IF(I26="B",(D26-F26)*0.5*(J26)/$A$5*$B$5,IF(I26="C",0))),-3)</f>
        <v>2016000</v>
      </c>
      <c r="AL26" s="40">
        <f t="shared" si="7"/>
        <v>558000</v>
      </c>
      <c r="AM26" s="40"/>
      <c r="AN26" s="40">
        <f t="shared" si="17"/>
        <v>0</v>
      </c>
      <c r="AO26" s="40">
        <f t="shared" si="16"/>
        <v>0</v>
      </c>
      <c r="AP26" s="40">
        <f t="shared" si="18"/>
        <v>0</v>
      </c>
      <c r="AQ26" s="43">
        <f t="shared" si="1"/>
        <v>15326000</v>
      </c>
      <c r="AR26" s="44">
        <f t="shared" si="19"/>
        <v>0</v>
      </c>
      <c r="AS26" s="44">
        <f t="shared" si="3"/>
        <v>0</v>
      </c>
      <c r="AT26" s="44">
        <f t="shared" si="4"/>
        <v>0</v>
      </c>
      <c r="AU26" s="45">
        <f t="shared" si="20"/>
        <v>0</v>
      </c>
      <c r="AV26" s="45">
        <f t="shared" si="21"/>
        <v>0</v>
      </c>
      <c r="AW26" s="45">
        <f t="shared" si="22"/>
        <v>0</v>
      </c>
      <c r="AX26" s="45">
        <f t="shared" si="23"/>
        <v>0</v>
      </c>
      <c r="AY26" s="46">
        <f t="shared" si="8"/>
        <v>0</v>
      </c>
      <c r="AZ26" s="53"/>
      <c r="BA26" s="40">
        <f t="shared" si="24"/>
        <v>0</v>
      </c>
      <c r="BB26" s="35"/>
      <c r="BC26" s="35"/>
      <c r="BD26" s="35"/>
      <c r="BE26" s="54"/>
      <c r="BF26" s="47">
        <f t="shared" si="9"/>
        <v>23750000</v>
      </c>
      <c r="BG26" s="2">
        <f t="shared" si="10"/>
        <v>116000</v>
      </c>
      <c r="BH26" s="48">
        <v>446400</v>
      </c>
      <c r="BI26" s="48">
        <v>83700</v>
      </c>
      <c r="BJ26" s="48">
        <v>55800</v>
      </c>
      <c r="BK26" s="48"/>
      <c r="BL26" s="2"/>
      <c r="BM26" s="2"/>
      <c r="BN26" s="2"/>
      <c r="BO26" s="2"/>
      <c r="BP26" s="2"/>
      <c r="BQ26" s="2"/>
      <c r="BR26" s="48"/>
      <c r="BS26" s="2"/>
      <c r="BT26" s="2"/>
      <c r="BU26" s="2"/>
      <c r="BV26" s="2"/>
      <c r="BW26" s="49">
        <f t="shared" si="27"/>
        <v>701900</v>
      </c>
      <c r="BX26" s="2"/>
      <c r="BY26" s="2"/>
      <c r="BZ26" s="49">
        <f t="shared" si="12"/>
        <v>23048100</v>
      </c>
      <c r="CA26" s="2">
        <v>100000</v>
      </c>
      <c r="CB26" s="2">
        <f t="shared" si="13"/>
        <v>18</v>
      </c>
      <c r="CC26" s="2">
        <f t="shared" si="14"/>
        <v>594000</v>
      </c>
      <c r="CD26" s="49">
        <f t="shared" si="15"/>
        <v>23742100</v>
      </c>
    </row>
    <row r="27" spans="1:82" s="95" customFormat="1" ht="50.25" customHeight="1" x14ac:dyDescent="0.25">
      <c r="A27" s="93"/>
      <c r="B27" s="93" t="s">
        <v>24</v>
      </c>
      <c r="C27" s="93"/>
      <c r="D27" s="94">
        <f>SUM(D11:D14)+SUM(D15:D26)</f>
        <v>214750000</v>
      </c>
      <c r="E27" s="94">
        <f>SUM(E11:E14)+SUM(E15:E26)</f>
        <v>1470000</v>
      </c>
      <c r="F27" s="94">
        <f>SUM(F11:F14)+SUM(F15:F26)</f>
        <v>104000000</v>
      </c>
      <c r="G27" s="94">
        <f>SUM(G11:G14)+SUM(G15:G26)</f>
        <v>104700000</v>
      </c>
      <c r="H27" s="94">
        <f>SUM(H11:H14)+SUM(H15:H26)</f>
        <v>1470000</v>
      </c>
      <c r="I27" s="94">
        <f t="shared" ref="I27:AN27" si="28">SUM(I11:I26)</f>
        <v>0</v>
      </c>
      <c r="J27" s="94">
        <f t="shared" si="28"/>
        <v>266</v>
      </c>
      <c r="K27" s="94">
        <f t="shared" si="28"/>
        <v>30</v>
      </c>
      <c r="L27" s="94">
        <f t="shared" si="28"/>
        <v>4</v>
      </c>
      <c r="M27" s="94">
        <f t="shared" si="28"/>
        <v>0</v>
      </c>
      <c r="N27" s="94">
        <f t="shared" si="28"/>
        <v>20</v>
      </c>
      <c r="O27" s="94">
        <f t="shared" si="28"/>
        <v>0</v>
      </c>
      <c r="P27" s="94">
        <f t="shared" si="28"/>
        <v>303</v>
      </c>
      <c r="Q27" s="94">
        <f t="shared" si="28"/>
        <v>0</v>
      </c>
      <c r="R27" s="94">
        <f t="shared" si="28"/>
        <v>0</v>
      </c>
      <c r="S27" s="94">
        <f t="shared" si="28"/>
        <v>0</v>
      </c>
      <c r="T27" s="94">
        <f t="shared" si="28"/>
        <v>0</v>
      </c>
      <c r="U27" s="94">
        <f t="shared" si="28"/>
        <v>0</v>
      </c>
      <c r="V27" s="94">
        <f t="shared" si="28"/>
        <v>0</v>
      </c>
      <c r="W27" s="94">
        <f t="shared" si="28"/>
        <v>0</v>
      </c>
      <c r="X27" s="94">
        <f t="shared" si="28"/>
        <v>0</v>
      </c>
      <c r="Y27" s="94">
        <f t="shared" si="28"/>
        <v>0</v>
      </c>
      <c r="Z27" s="94">
        <f t="shared" si="28"/>
        <v>0</v>
      </c>
      <c r="AA27" s="94">
        <f t="shared" si="28"/>
        <v>0</v>
      </c>
      <c r="AB27" s="94">
        <f t="shared" si="28"/>
        <v>0</v>
      </c>
      <c r="AC27" s="94">
        <f t="shared" si="28"/>
        <v>0</v>
      </c>
      <c r="AD27" s="96">
        <f t="shared" si="28"/>
        <v>66</v>
      </c>
      <c r="AE27" s="94">
        <f t="shared" si="28"/>
        <v>0</v>
      </c>
      <c r="AF27" s="97">
        <f t="shared" si="28"/>
        <v>180.86666666666662</v>
      </c>
      <c r="AG27" s="97">
        <f t="shared" si="28"/>
        <v>0</v>
      </c>
      <c r="AH27" s="97">
        <f t="shared" si="28"/>
        <v>1033.4333333333334</v>
      </c>
      <c r="AI27" s="97">
        <f t="shared" si="28"/>
        <v>125</v>
      </c>
      <c r="AJ27" s="94">
        <f t="shared" si="28"/>
        <v>77453000</v>
      </c>
      <c r="AK27" s="94">
        <f t="shared" si="28"/>
        <v>41265000</v>
      </c>
      <c r="AL27" s="94">
        <f t="shared" si="28"/>
        <v>8949000</v>
      </c>
      <c r="AM27" s="94">
        <f t="shared" si="28"/>
        <v>0</v>
      </c>
      <c r="AN27" s="94">
        <f t="shared" si="28"/>
        <v>0</v>
      </c>
      <c r="AO27" s="94">
        <f t="shared" ref="AO27:CD27" si="29">SUM(AO11:AO26)</f>
        <v>1806000</v>
      </c>
      <c r="AP27" s="94">
        <f t="shared" si="29"/>
        <v>5253000</v>
      </c>
      <c r="AQ27" s="94">
        <f t="shared" si="29"/>
        <v>95748000</v>
      </c>
      <c r="AR27" s="94">
        <f t="shared" si="29"/>
        <v>0</v>
      </c>
      <c r="AS27" s="94">
        <f t="shared" si="29"/>
        <v>55052000</v>
      </c>
      <c r="AT27" s="94">
        <f t="shared" si="29"/>
        <v>7126000</v>
      </c>
      <c r="AU27" s="94">
        <f t="shared" si="29"/>
        <v>0</v>
      </c>
      <c r="AV27" s="94">
        <f t="shared" si="29"/>
        <v>0</v>
      </c>
      <c r="AW27" s="94">
        <f t="shared" si="29"/>
        <v>0</v>
      </c>
      <c r="AX27" s="94">
        <f t="shared" si="29"/>
        <v>0</v>
      </c>
      <c r="AY27" s="94">
        <f t="shared" si="29"/>
        <v>-599000</v>
      </c>
      <c r="AZ27" s="94">
        <f t="shared" si="29"/>
        <v>1470000</v>
      </c>
      <c r="BA27" s="94">
        <f t="shared" si="29"/>
        <v>0</v>
      </c>
      <c r="BB27" s="94">
        <f t="shared" si="29"/>
        <v>3907160</v>
      </c>
      <c r="BC27" s="94">
        <f t="shared" si="29"/>
        <v>2038840</v>
      </c>
      <c r="BD27" s="94">
        <f t="shared" si="29"/>
        <v>0</v>
      </c>
      <c r="BE27" s="94">
        <f t="shared" si="29"/>
        <v>0</v>
      </c>
      <c r="BF27" s="94">
        <f t="shared" si="29"/>
        <v>299469000</v>
      </c>
      <c r="BG27" s="94">
        <f t="shared" si="29"/>
        <v>1443000</v>
      </c>
      <c r="BH27" s="94">
        <f t="shared" si="29"/>
        <v>7999200</v>
      </c>
      <c r="BI27" s="94">
        <f t="shared" si="29"/>
        <v>1499850</v>
      </c>
      <c r="BJ27" s="94">
        <f t="shared" si="29"/>
        <v>999900</v>
      </c>
      <c r="BK27" s="94">
        <f t="shared" si="29"/>
        <v>0</v>
      </c>
      <c r="BL27" s="94">
        <f t="shared" si="29"/>
        <v>0</v>
      </c>
      <c r="BM27" s="94">
        <f t="shared" si="29"/>
        <v>0</v>
      </c>
      <c r="BN27" s="94">
        <f t="shared" si="29"/>
        <v>0</v>
      </c>
      <c r="BO27" s="94">
        <f t="shared" si="29"/>
        <v>0</v>
      </c>
      <c r="BP27" s="94">
        <f t="shared" si="29"/>
        <v>0</v>
      </c>
      <c r="BQ27" s="94">
        <f t="shared" si="29"/>
        <v>0</v>
      </c>
      <c r="BR27" s="94">
        <f t="shared" si="29"/>
        <v>0</v>
      </c>
      <c r="BS27" s="94">
        <f t="shared" si="29"/>
        <v>2022000</v>
      </c>
      <c r="BT27" s="94">
        <f t="shared" si="29"/>
        <v>0</v>
      </c>
      <c r="BU27" s="94">
        <f t="shared" si="29"/>
        <v>12800000</v>
      </c>
      <c r="BV27" s="94">
        <f t="shared" si="29"/>
        <v>0</v>
      </c>
      <c r="BW27" s="94">
        <f t="shared" si="29"/>
        <v>26763950</v>
      </c>
      <c r="BX27" s="94">
        <f t="shared" si="29"/>
        <v>160000</v>
      </c>
      <c r="BY27" s="94">
        <f t="shared" si="29"/>
        <v>0</v>
      </c>
      <c r="BZ27" s="94">
        <f t="shared" si="29"/>
        <v>272865050</v>
      </c>
      <c r="CA27" s="94">
        <f t="shared" si="29"/>
        <v>1400000</v>
      </c>
      <c r="CB27" s="94">
        <f t="shared" si="29"/>
        <v>284</v>
      </c>
      <c r="CC27" s="94">
        <f t="shared" si="29"/>
        <v>9372000</v>
      </c>
      <c r="CD27" s="94">
        <f t="shared" si="29"/>
        <v>283637050</v>
      </c>
    </row>
    <row r="28" spans="1:82" ht="6" customHeight="1" x14ac:dyDescent="0.25">
      <c r="A28" s="13"/>
      <c r="B28" s="13"/>
      <c r="C28" s="13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6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7"/>
      <c r="AE28" s="65"/>
      <c r="AF28" s="67"/>
      <c r="AG28" s="67"/>
      <c r="AH28" s="67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R28" s="17"/>
      <c r="BZ28" s="17"/>
    </row>
    <row r="31" spans="1:82" x14ac:dyDescent="0.25">
      <c r="AR31" s="73"/>
      <c r="AS31" s="73"/>
      <c r="AT31" s="73"/>
      <c r="AW31" s="70"/>
      <c r="BF31" s="75"/>
    </row>
    <row r="60" spans="1:82" s="76" customFormat="1" x14ac:dyDescent="0.25">
      <c r="A60" s="69"/>
      <c r="B60" s="68"/>
      <c r="C60" s="68"/>
      <c r="D60" s="68"/>
      <c r="E60" s="68"/>
      <c r="F60" s="68"/>
      <c r="G60" s="68"/>
      <c r="H60" s="68"/>
      <c r="I60" s="70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68"/>
      <c r="AK60" s="68"/>
      <c r="AL60" s="68"/>
      <c r="AM60" s="68"/>
      <c r="AN60" s="68"/>
      <c r="AO60" s="68"/>
      <c r="AP60" s="68"/>
      <c r="AQ60" s="72"/>
      <c r="AR60" s="68"/>
      <c r="AS60" s="68"/>
      <c r="AT60" s="68"/>
      <c r="AU60" s="68"/>
      <c r="AV60" s="68"/>
      <c r="AW60" s="68"/>
      <c r="AX60" s="68"/>
      <c r="AY60" s="68"/>
      <c r="AZ60" s="74"/>
      <c r="BA60" s="68"/>
      <c r="BF60" s="77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</row>
    <row r="61" spans="1:82" s="76" customFormat="1" x14ac:dyDescent="0.25">
      <c r="A61" s="69"/>
      <c r="B61" s="68"/>
      <c r="C61" s="68"/>
      <c r="D61" s="68"/>
      <c r="E61" s="68"/>
      <c r="F61" s="68"/>
      <c r="G61" s="68"/>
      <c r="H61" s="68"/>
      <c r="I61" s="70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68"/>
      <c r="AK61" s="68"/>
      <c r="AL61" s="68"/>
      <c r="AM61" s="68"/>
      <c r="AN61" s="68"/>
      <c r="AO61" s="68"/>
      <c r="AP61" s="68"/>
      <c r="AQ61" s="72"/>
      <c r="AR61" s="68"/>
      <c r="AS61" s="68"/>
      <c r="AT61" s="68"/>
      <c r="AU61" s="68"/>
      <c r="AV61" s="68"/>
      <c r="AW61" s="68"/>
      <c r="AX61" s="68"/>
      <c r="AY61" s="68"/>
      <c r="AZ61" s="74"/>
      <c r="BA61" s="68"/>
      <c r="BF61" s="77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</row>
    <row r="62" spans="1:82" s="76" customFormat="1" x14ac:dyDescent="0.25">
      <c r="A62" s="69"/>
      <c r="B62" s="68"/>
      <c r="C62" s="68"/>
      <c r="D62" s="68"/>
      <c r="E62" s="68"/>
      <c r="F62" s="68"/>
      <c r="G62" s="68"/>
      <c r="H62" s="68"/>
      <c r="I62" s="70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68"/>
      <c r="AK62" s="68"/>
      <c r="AL62" s="68"/>
      <c r="AM62" s="68"/>
      <c r="AN62" s="68"/>
      <c r="AO62" s="68"/>
      <c r="AP62" s="68"/>
      <c r="AQ62" s="72"/>
      <c r="AR62" s="68"/>
      <c r="AS62" s="68"/>
      <c r="AT62" s="68"/>
      <c r="AU62" s="68"/>
      <c r="AV62" s="68"/>
      <c r="AW62" s="68"/>
      <c r="AX62" s="68"/>
      <c r="AY62" s="68"/>
      <c r="AZ62" s="74"/>
      <c r="BA62" s="68"/>
      <c r="BF62" s="77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</row>
    <row r="63" spans="1:82" s="76" customFormat="1" x14ac:dyDescent="0.25">
      <c r="A63" s="69"/>
      <c r="B63" s="68"/>
      <c r="C63" s="68"/>
      <c r="D63" s="68"/>
      <c r="E63" s="68"/>
      <c r="F63" s="68"/>
      <c r="G63" s="68"/>
      <c r="H63" s="68"/>
      <c r="I63" s="70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68"/>
      <c r="AK63" s="68"/>
      <c r="AL63" s="68"/>
      <c r="AM63" s="68"/>
      <c r="AN63" s="68"/>
      <c r="AO63" s="68"/>
      <c r="AP63" s="68"/>
      <c r="AQ63" s="72"/>
      <c r="AR63" s="68"/>
      <c r="AS63" s="68"/>
      <c r="AT63" s="68"/>
      <c r="AU63" s="68"/>
      <c r="AV63" s="68"/>
      <c r="AW63" s="68"/>
      <c r="AX63" s="68"/>
      <c r="AY63" s="68"/>
      <c r="AZ63" s="74"/>
      <c r="BA63" s="68"/>
      <c r="BF63" s="77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</row>
    <row r="64" spans="1:82" s="76" customFormat="1" x14ac:dyDescent="0.25">
      <c r="A64" s="69"/>
      <c r="B64" s="68"/>
      <c r="C64" s="68"/>
      <c r="D64" s="68"/>
      <c r="E64" s="68"/>
      <c r="F64" s="68"/>
      <c r="G64" s="68"/>
      <c r="H64" s="68"/>
      <c r="I64" s="70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68"/>
      <c r="AK64" s="68"/>
      <c r="AL64" s="68"/>
      <c r="AM64" s="68"/>
      <c r="AN64" s="68"/>
      <c r="AO64" s="68"/>
      <c r="AP64" s="68"/>
      <c r="AQ64" s="72"/>
      <c r="AR64" s="68"/>
      <c r="AS64" s="68"/>
      <c r="AT64" s="68"/>
      <c r="AU64" s="68"/>
      <c r="AV64" s="68"/>
      <c r="AW64" s="68"/>
      <c r="AX64" s="68"/>
      <c r="AY64" s="68"/>
      <c r="AZ64" s="74"/>
      <c r="BA64" s="68"/>
      <c r="BF64" s="77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</row>
    <row r="65" spans="1:82" s="76" customFormat="1" x14ac:dyDescent="0.25">
      <c r="A65" s="69"/>
      <c r="B65" s="68"/>
      <c r="C65" s="68"/>
      <c r="D65" s="68"/>
      <c r="E65" s="68"/>
      <c r="F65" s="68"/>
      <c r="G65" s="68"/>
      <c r="H65" s="68"/>
      <c r="I65" s="70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68"/>
      <c r="AK65" s="68"/>
      <c r="AL65" s="68"/>
      <c r="AM65" s="68"/>
      <c r="AN65" s="68"/>
      <c r="AO65" s="68"/>
      <c r="AP65" s="68"/>
      <c r="AQ65" s="72"/>
      <c r="AR65" s="68"/>
      <c r="AS65" s="68"/>
      <c r="AT65" s="68"/>
      <c r="AU65" s="68"/>
      <c r="AV65" s="68"/>
      <c r="AW65" s="68"/>
      <c r="AX65" s="68"/>
      <c r="AY65" s="68"/>
      <c r="AZ65" s="74"/>
      <c r="BA65" s="68"/>
      <c r="BF65" s="77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</row>
    <row r="66" spans="1:82" s="76" customFormat="1" x14ac:dyDescent="0.25">
      <c r="A66" s="69"/>
      <c r="B66" s="68"/>
      <c r="C66" s="68"/>
      <c r="D66" s="68"/>
      <c r="E66" s="68"/>
      <c r="F66" s="68"/>
      <c r="G66" s="68"/>
      <c r="H66" s="68"/>
      <c r="I66" s="70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68"/>
      <c r="AK66" s="68"/>
      <c r="AL66" s="68"/>
      <c r="AM66" s="68"/>
      <c r="AN66" s="68"/>
      <c r="AO66" s="68"/>
      <c r="AP66" s="68"/>
      <c r="AQ66" s="72"/>
      <c r="AR66" s="68"/>
      <c r="AS66" s="68"/>
      <c r="AT66" s="68"/>
      <c r="AU66" s="68"/>
      <c r="AV66" s="68"/>
      <c r="AW66" s="68"/>
      <c r="AX66" s="68"/>
      <c r="AY66" s="68"/>
      <c r="AZ66" s="74"/>
      <c r="BA66" s="68"/>
      <c r="BF66" s="77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</row>
    <row r="67" spans="1:82" s="76" customFormat="1" x14ac:dyDescent="0.25">
      <c r="A67" s="69"/>
      <c r="B67" s="68"/>
      <c r="C67" s="68"/>
      <c r="D67" s="68"/>
      <c r="E67" s="68"/>
      <c r="F67" s="68"/>
      <c r="G67" s="68"/>
      <c r="H67" s="68"/>
      <c r="I67" s="70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68"/>
      <c r="AK67" s="68"/>
      <c r="AL67" s="68"/>
      <c r="AM67" s="68"/>
      <c r="AN67" s="68"/>
      <c r="AO67" s="68"/>
      <c r="AP67" s="68"/>
      <c r="AQ67" s="72"/>
      <c r="AR67" s="68"/>
      <c r="AS67" s="68"/>
      <c r="AT67" s="68"/>
      <c r="AU67" s="68"/>
      <c r="AV67" s="68"/>
      <c r="AW67" s="68"/>
      <c r="AX67" s="68"/>
      <c r="AY67" s="68"/>
      <c r="AZ67" s="74"/>
      <c r="BA67" s="68"/>
      <c r="BF67" s="77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</row>
    <row r="68" spans="1:82" s="76" customFormat="1" x14ac:dyDescent="0.25">
      <c r="A68" s="69"/>
      <c r="B68" s="68"/>
      <c r="C68" s="68"/>
      <c r="D68" s="68"/>
      <c r="E68" s="68"/>
      <c r="F68" s="68"/>
      <c r="G68" s="68"/>
      <c r="H68" s="68"/>
      <c r="I68" s="70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68"/>
      <c r="AK68" s="68"/>
      <c r="AL68" s="68"/>
      <c r="AM68" s="68"/>
      <c r="AN68" s="68"/>
      <c r="AO68" s="68"/>
      <c r="AP68" s="68"/>
      <c r="AQ68" s="72"/>
      <c r="AR68" s="68"/>
      <c r="AS68" s="68"/>
      <c r="AT68" s="68"/>
      <c r="AU68" s="68"/>
      <c r="AV68" s="68"/>
      <c r="AW68" s="68"/>
      <c r="AX68" s="68"/>
      <c r="AY68" s="68"/>
      <c r="AZ68" s="74"/>
      <c r="BA68" s="68"/>
      <c r="BF68" s="77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</row>
  </sheetData>
  <mergeCells count="82">
    <mergeCell ref="CD6:CD9"/>
    <mergeCell ref="BJ7:BJ9"/>
    <mergeCell ref="BK7:BK9"/>
    <mergeCell ref="BL7:BL9"/>
    <mergeCell ref="BM7:BM9"/>
    <mergeCell ref="BN7:BN9"/>
    <mergeCell ref="BO7:BO9"/>
    <mergeCell ref="BP7:BP9"/>
    <mergeCell ref="BQ7:BQ9"/>
    <mergeCell ref="BR7:BR9"/>
    <mergeCell ref="BX6:BX9"/>
    <mergeCell ref="BY6:BY9"/>
    <mergeCell ref="BZ6:BZ9"/>
    <mergeCell ref="CA6:CA9"/>
    <mergeCell ref="CB6:CB9"/>
    <mergeCell ref="CC6:CC9"/>
    <mergeCell ref="BG6:BW6"/>
    <mergeCell ref="BS7:BS9"/>
    <mergeCell ref="BT7:BT9"/>
    <mergeCell ref="BU7:BU9"/>
    <mergeCell ref="BV7:BV9"/>
    <mergeCell ref="BH7:BH9"/>
    <mergeCell ref="BI7:BI9"/>
    <mergeCell ref="BW7:BW9"/>
    <mergeCell ref="BB8:BB9"/>
    <mergeCell ref="BC8:BC9"/>
    <mergeCell ref="BD8:BD9"/>
    <mergeCell ref="BE8:BE9"/>
    <mergeCell ref="AQ8:AR8"/>
    <mergeCell ref="AS8:AT8"/>
    <mergeCell ref="AU8:AV8"/>
    <mergeCell ref="AW8:AX8"/>
    <mergeCell ref="AZ8:AZ9"/>
    <mergeCell ref="BA8:BA9"/>
    <mergeCell ref="R8:R9"/>
    <mergeCell ref="S8:S9"/>
    <mergeCell ref="T8:U8"/>
    <mergeCell ref="V8:W8"/>
    <mergeCell ref="AP8:AP9"/>
    <mergeCell ref="Z8:AA8"/>
    <mergeCell ref="AB8:AC8"/>
    <mergeCell ref="AD8:AE8"/>
    <mergeCell ref="AF8:AG8"/>
    <mergeCell ref="AH8:AI8"/>
    <mergeCell ref="AJ8:AJ9"/>
    <mergeCell ref="AK8:AK9"/>
    <mergeCell ref="AL8:AL9"/>
    <mergeCell ref="AM8:AM9"/>
    <mergeCell ref="AN8:AN9"/>
    <mergeCell ref="AO8:AO9"/>
    <mergeCell ref="AZ7:BE7"/>
    <mergeCell ref="BG7:BG9"/>
    <mergeCell ref="J6:Q7"/>
    <mergeCell ref="R6:S7"/>
    <mergeCell ref="T6:AI6"/>
    <mergeCell ref="AJ6:BE6"/>
    <mergeCell ref="BF6:BF9"/>
    <mergeCell ref="N8:N9"/>
    <mergeCell ref="O8:O9"/>
    <mergeCell ref="T7:W7"/>
    <mergeCell ref="X7:AC7"/>
    <mergeCell ref="AD7:AI7"/>
    <mergeCell ref="AJ7:AW7"/>
    <mergeCell ref="AY7:AY9"/>
    <mergeCell ref="X8:Y8"/>
    <mergeCell ref="J8:J9"/>
    <mergeCell ref="A3:AI3"/>
    <mergeCell ref="A4:AI4"/>
    <mergeCell ref="A6:A9"/>
    <mergeCell ref="B6:B9"/>
    <mergeCell ref="C6:C9"/>
    <mergeCell ref="D6:D9"/>
    <mergeCell ref="E6:E9"/>
    <mergeCell ref="F6:F9"/>
    <mergeCell ref="G6:H7"/>
    <mergeCell ref="I6:I9"/>
    <mergeCell ref="G8:G9"/>
    <mergeCell ref="H8:H9"/>
    <mergeCell ref="K8:K9"/>
    <mergeCell ref="L8:L9"/>
    <mergeCell ref="M8:M9"/>
    <mergeCell ref="P8:Q8"/>
  </mergeCells>
  <pageMargins left="0.25" right="0.25" top="0.75" bottom="0.75" header="0.3" footer="0.3"/>
  <pageSetup paperSize="8" scale="3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T11.25</vt:lpstr>
      <vt:lpstr>T11.25!Print_Area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2025-12-24T07:44:55Z</dcterms:modified>
</cp:coreProperties>
</file>