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7F4AD85-0EDB-409A-ADED-9FB26B9E4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9.25" sheetId="51" r:id="rId1"/>
  </sheets>
  <definedNames>
    <definedName name="_xlnm.Print_Area" localSheetId="0">'T9.25'!$A$1:$CD$25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25" i="51" l="1"/>
  <c r="BI25" i="51"/>
  <c r="BJ25" i="51"/>
  <c r="BK25" i="51"/>
  <c r="BL25" i="51"/>
  <c r="BM25" i="51"/>
  <c r="BN25" i="51"/>
  <c r="BO25" i="51"/>
  <c r="BP25" i="51"/>
  <c r="BQ25" i="51"/>
  <c r="BR25" i="51"/>
  <c r="BS25" i="51"/>
  <c r="BT25" i="51"/>
  <c r="BU25" i="51"/>
  <c r="BV25" i="51"/>
  <c r="BX25" i="51"/>
  <c r="BY25" i="51"/>
  <c r="CA25" i="51"/>
  <c r="AI25" i="51"/>
  <c r="AM25" i="51"/>
  <c r="AZ25" i="51"/>
  <c r="BB25" i="51"/>
  <c r="BC25" i="51"/>
  <c r="BD25" i="51"/>
  <c r="BE25" i="51"/>
  <c r="Q25" i="51"/>
  <c r="R25" i="51"/>
  <c r="S25" i="51"/>
  <c r="T25" i="51"/>
  <c r="U25" i="51"/>
  <c r="V25" i="51"/>
  <c r="W25" i="51"/>
  <c r="X25" i="51"/>
  <c r="Y25" i="51"/>
  <c r="Z25" i="51"/>
  <c r="AA25" i="51"/>
  <c r="AB25" i="51"/>
  <c r="AC25" i="51"/>
  <c r="AD25" i="51"/>
  <c r="AE25" i="51"/>
  <c r="AF25" i="51"/>
  <c r="AG25" i="51"/>
  <c r="AH25" i="51"/>
  <c r="CB23" i="51"/>
  <c r="CB24" i="51"/>
  <c r="CC24" i="51" s="1"/>
  <c r="CC23" i="51"/>
  <c r="CB22" i="51"/>
  <c r="CC22" i="51" s="1"/>
  <c r="CB21" i="51"/>
  <c r="CC21" i="51" s="1"/>
  <c r="CB20" i="51"/>
  <c r="CC20" i="51" s="1"/>
  <c r="CB19" i="51"/>
  <c r="CC19" i="51" s="1"/>
  <c r="CB18" i="51"/>
  <c r="CC18" i="51" s="1"/>
  <c r="CB17" i="51"/>
  <c r="CC17" i="51" s="1"/>
  <c r="CB16" i="51"/>
  <c r="CC16" i="51" s="1"/>
  <c r="CB15" i="51"/>
  <c r="CC15" i="51" s="1"/>
  <c r="CB14" i="51"/>
  <c r="CC14" i="51" s="1"/>
  <c r="CC13" i="51"/>
  <c r="CB12" i="51"/>
  <c r="CC12" i="51" s="1"/>
  <c r="CB11" i="51"/>
  <c r="CC11" i="51" s="1"/>
  <c r="CB10" i="51"/>
  <c r="N25" i="51"/>
  <c r="H25" i="51"/>
  <c r="G25" i="51"/>
  <c r="F25" i="51"/>
  <c r="E25" i="51"/>
  <c r="D25" i="51"/>
  <c r="AX24" i="51"/>
  <c r="AW24" i="51"/>
  <c r="AV24" i="51"/>
  <c r="AU24" i="51"/>
  <c r="AT24" i="51"/>
  <c r="AS24" i="51"/>
  <c r="AR24" i="51"/>
  <c r="AP24" i="51"/>
  <c r="AQ24" i="51"/>
  <c r="AN24" i="51"/>
  <c r="AO24" i="51"/>
  <c r="AL24" i="51"/>
  <c r="AY24" i="51"/>
  <c r="AX23" i="51"/>
  <c r="AW23" i="51"/>
  <c r="AV23" i="51"/>
  <c r="AU23" i="51"/>
  <c r="AT23" i="51"/>
  <c r="AS23" i="51"/>
  <c r="AR23" i="51"/>
  <c r="AP23" i="51"/>
  <c r="AN23" i="51"/>
  <c r="AL23" i="51"/>
  <c r="AJ23" i="51"/>
  <c r="AQ23" i="51"/>
  <c r="AO23" i="51"/>
  <c r="AY23" i="51"/>
  <c r="AX22" i="51"/>
  <c r="AW22" i="51"/>
  <c r="AV22" i="51"/>
  <c r="AU22" i="51"/>
  <c r="AT22" i="51"/>
  <c r="AS22" i="51"/>
  <c r="AR22" i="51"/>
  <c r="AP22" i="51"/>
  <c r="AO22" i="51"/>
  <c r="AQ22" i="51"/>
  <c r="AN22" i="51"/>
  <c r="BA22" i="51"/>
  <c r="AY22" i="51"/>
  <c r="AR21" i="51"/>
  <c r="AP21" i="51"/>
  <c r="AU21" i="51"/>
  <c r="AX21" i="51"/>
  <c r="AW21" i="51"/>
  <c r="AQ21" i="51"/>
  <c r="AN21" i="51"/>
  <c r="AO21" i="51"/>
  <c r="AL21" i="51"/>
  <c r="AR20" i="51"/>
  <c r="AP20" i="51"/>
  <c r="AS20" i="51"/>
  <c r="AX20" i="51"/>
  <c r="AQ20" i="51"/>
  <c r="AN20" i="51"/>
  <c r="AO20" i="51"/>
  <c r="AL20" i="51"/>
  <c r="AJ20" i="51"/>
  <c r="AY20" i="51"/>
  <c r="AR19" i="51"/>
  <c r="AP19" i="51"/>
  <c r="AW19" i="51"/>
  <c r="AQ19" i="51"/>
  <c r="AN19" i="51"/>
  <c r="AO19" i="51"/>
  <c r="AL19" i="51"/>
  <c r="BA19" i="51"/>
  <c r="AR18" i="51"/>
  <c r="AP18" i="51"/>
  <c r="AX18" i="51"/>
  <c r="AQ18" i="51"/>
  <c r="AN18" i="51"/>
  <c r="AO18" i="51"/>
  <c r="AL18" i="51"/>
  <c r="AJ18" i="51"/>
  <c r="AY18" i="51"/>
  <c r="AR17" i="51"/>
  <c r="AP17" i="51"/>
  <c r="AQ17" i="51"/>
  <c r="AN17" i="51"/>
  <c r="AO17" i="51"/>
  <c r="AL17" i="51"/>
  <c r="AR16" i="51"/>
  <c r="AP16" i="51"/>
  <c r="AX16" i="51"/>
  <c r="AW16" i="51"/>
  <c r="AQ16" i="51"/>
  <c r="AN16" i="51"/>
  <c r="AO16" i="51"/>
  <c r="AL16" i="51"/>
  <c r="AY16" i="51"/>
  <c r="AS15" i="51"/>
  <c r="AT15" i="51"/>
  <c r="AQ15" i="51"/>
  <c r="AO15" i="51"/>
  <c r="AL15" i="51"/>
  <c r="AJ15" i="51"/>
  <c r="AK15" i="51"/>
  <c r="AW14" i="51"/>
  <c r="AR14" i="51"/>
  <c r="AP14" i="51"/>
  <c r="AJ14" i="51"/>
  <c r="AT14" i="51"/>
  <c r="AU14" i="51"/>
  <c r="AQ14" i="51"/>
  <c r="AN14" i="51"/>
  <c r="AO14" i="51"/>
  <c r="AL14" i="51"/>
  <c r="BA14" i="51"/>
  <c r="AR13" i="51"/>
  <c r="AP13" i="51"/>
  <c r="AU13" i="51"/>
  <c r="AQ13" i="51"/>
  <c r="AN13" i="51"/>
  <c r="AO13" i="51"/>
  <c r="AL13" i="51"/>
  <c r="AR12" i="51"/>
  <c r="AP12" i="51"/>
  <c r="AW12" i="51"/>
  <c r="AQ12" i="51"/>
  <c r="AN12" i="51"/>
  <c r="AO12" i="51"/>
  <c r="AL12" i="51"/>
  <c r="AY12" i="51"/>
  <c r="AR11" i="51"/>
  <c r="AP11" i="51"/>
  <c r="AV11" i="51"/>
  <c r="AW11" i="51"/>
  <c r="AQ11" i="51"/>
  <c r="AN11" i="51"/>
  <c r="AN25" i="51" s="1"/>
  <c r="AO11" i="51"/>
  <c r="AL11" i="51"/>
  <c r="AJ11" i="51"/>
  <c r="AY11" i="51"/>
  <c r="AX10" i="51"/>
  <c r="AW10" i="51"/>
  <c r="AR10" i="51"/>
  <c r="AR25" i="51" s="1"/>
  <c r="AP10" i="51"/>
  <c r="AP25" i="51" s="1"/>
  <c r="AU10" i="51"/>
  <c r="AO10" i="51"/>
  <c r="AO25" i="51" s="1"/>
  <c r="CB25" i="51" l="1"/>
  <c r="CC10" i="51"/>
  <c r="CC25" i="51" s="1"/>
  <c r="AS12" i="51"/>
  <c r="AV19" i="51"/>
  <c r="AT12" i="51"/>
  <c r="AV14" i="51"/>
  <c r="AU16" i="51"/>
  <c r="AS19" i="51"/>
  <c r="BA23" i="51"/>
  <c r="J25" i="51"/>
  <c r="AX12" i="51"/>
  <c r="AU12" i="51"/>
  <c r="AU18" i="51"/>
  <c r="AT20" i="51"/>
  <c r="AW20" i="51"/>
  <c r="AV21" i="51"/>
  <c r="AU17" i="51"/>
  <c r="O25" i="51"/>
  <c r="AK19" i="51"/>
  <c r="AU19" i="51"/>
  <c r="AS11" i="51"/>
  <c r="AS16" i="51"/>
  <c r="AU20" i="51"/>
  <c r="AT21" i="51"/>
  <c r="AK14" i="51"/>
  <c r="BA20" i="51"/>
  <c r="P25" i="51"/>
  <c r="AS14" i="51"/>
  <c r="AV17" i="51"/>
  <c r="BA17" i="51"/>
  <c r="AV13" i="51"/>
  <c r="AK18" i="51"/>
  <c r="AS21" i="51"/>
  <c r="AV18" i="51"/>
  <c r="AJ12" i="51"/>
  <c r="AX13" i="51"/>
  <c r="AW17" i="51"/>
  <c r="AS17" i="51"/>
  <c r="AX19" i="51"/>
  <c r="AT19" i="51"/>
  <c r="AJ10" i="51"/>
  <c r="AW13" i="51"/>
  <c r="AW25" i="51" s="1"/>
  <c r="AS13" i="51"/>
  <c r="AX17" i="51"/>
  <c r="AT17" i="51"/>
  <c r="AV20" i="51"/>
  <c r="AJ22" i="51"/>
  <c r="AX14" i="51"/>
  <c r="I25" i="51"/>
  <c r="AJ19" i="51"/>
  <c r="BA24" i="51"/>
  <c r="AJ17" i="51"/>
  <c r="AS18" i="51"/>
  <c r="K25" i="51"/>
  <c r="AS10" i="51"/>
  <c r="AV12" i="51"/>
  <c r="L25" i="51"/>
  <c r="AT10" i="51"/>
  <c r="AV16" i="51"/>
  <c r="AW18" i="51"/>
  <c r="AJ24" i="51"/>
  <c r="M25" i="51"/>
  <c r="AV10" i="51"/>
  <c r="AV25" i="51" s="1"/>
  <c r="AX11" i="51"/>
  <c r="AX25" i="51" s="1"/>
  <c r="AT18" i="51"/>
  <c r="AY19" i="51"/>
  <c r="AK12" i="51"/>
  <c r="AJ21" i="51"/>
  <c r="BA18" i="51"/>
  <c r="BA25" i="51" s="1"/>
  <c r="AK21" i="51"/>
  <c r="AT11" i="51"/>
  <c r="AK17" i="51"/>
  <c r="AY21" i="51"/>
  <c r="AK24" i="51"/>
  <c r="AK10" i="51"/>
  <c r="AU11" i="51"/>
  <c r="AU25" i="51" s="1"/>
  <c r="AT13" i="51"/>
  <c r="AY15" i="51"/>
  <c r="BF15" i="51" s="1"/>
  <c r="BG15" i="51" s="1"/>
  <c r="BW15" i="51" s="1"/>
  <c r="BZ15" i="51" s="1"/>
  <c r="CD15" i="51" s="1"/>
  <c r="AT16" i="51"/>
  <c r="AY17" i="51"/>
  <c r="BA21" i="51"/>
  <c r="AK20" i="51"/>
  <c r="AK22" i="51"/>
  <c r="AQ10" i="51"/>
  <c r="AQ25" i="51" s="1"/>
  <c r="AK11" i="51"/>
  <c r="AJ13" i="51"/>
  <c r="AJ16" i="51"/>
  <c r="AL22" i="51"/>
  <c r="AL25" i="51" s="1"/>
  <c r="AK13" i="51"/>
  <c r="AK16" i="51"/>
  <c r="AY13" i="51"/>
  <c r="AY25" i="51" s="1"/>
  <c r="AY14" i="51"/>
  <c r="AK23" i="51"/>
  <c r="AK25" i="51" l="1"/>
  <c r="AT25" i="51"/>
  <c r="AS25" i="51"/>
  <c r="AJ25" i="51"/>
  <c r="BF16" i="51"/>
  <c r="BG16" i="51" s="1"/>
  <c r="BW16" i="51" s="1"/>
  <c r="BZ16" i="51" s="1"/>
  <c r="CD16" i="51" s="1"/>
  <c r="BF17" i="51"/>
  <c r="BG17" i="51" s="1"/>
  <c r="BW17" i="51" s="1"/>
  <c r="BZ17" i="51" s="1"/>
  <c r="CD17" i="51" s="1"/>
  <c r="BF12" i="51"/>
  <c r="BG12" i="51" s="1"/>
  <c r="BW12" i="51" s="1"/>
  <c r="BZ12" i="51" s="1"/>
  <c r="CD12" i="51" s="1"/>
  <c r="BF10" i="51"/>
  <c r="BF19" i="51"/>
  <c r="BG19" i="51" s="1"/>
  <c r="BW19" i="51" s="1"/>
  <c r="BZ19" i="51" s="1"/>
  <c r="CD19" i="51" s="1"/>
  <c r="BF13" i="51"/>
  <c r="BG13" i="51" s="1"/>
  <c r="BW13" i="51" s="1"/>
  <c r="BZ13" i="51" s="1"/>
  <c r="CD13" i="51" s="1"/>
  <c r="BF21" i="51"/>
  <c r="BG21" i="51" s="1"/>
  <c r="BW21" i="51" s="1"/>
  <c r="BZ21" i="51" s="1"/>
  <c r="CD21" i="51" s="1"/>
  <c r="BF18" i="51"/>
  <c r="BG18" i="51" s="1"/>
  <c r="BW18" i="51" s="1"/>
  <c r="BZ18" i="51" s="1"/>
  <c r="CD18" i="51" s="1"/>
  <c r="BF11" i="51"/>
  <c r="BG11" i="51" s="1"/>
  <c r="BW11" i="51" s="1"/>
  <c r="BZ11" i="51" s="1"/>
  <c r="CD11" i="51" s="1"/>
  <c r="BF14" i="51"/>
  <c r="BG14" i="51" s="1"/>
  <c r="BW14" i="51" s="1"/>
  <c r="BZ14" i="51" s="1"/>
  <c r="CD14" i="51" s="1"/>
  <c r="BF24" i="51"/>
  <c r="BG24" i="51" s="1"/>
  <c r="BW24" i="51" s="1"/>
  <c r="BZ24" i="51" s="1"/>
  <c r="CD24" i="51" s="1"/>
  <c r="BF22" i="51"/>
  <c r="BG22" i="51" s="1"/>
  <c r="BW22" i="51" s="1"/>
  <c r="BZ22" i="51" s="1"/>
  <c r="CD22" i="51" s="1"/>
  <c r="BF23" i="51"/>
  <c r="BG23" i="51" s="1"/>
  <c r="BW23" i="51" s="1"/>
  <c r="BZ23" i="51" s="1"/>
  <c r="CD23" i="51" s="1"/>
  <c r="BF20" i="51"/>
  <c r="BG20" i="51" s="1"/>
  <c r="BW20" i="51" s="1"/>
  <c r="BZ20" i="51" s="1"/>
  <c r="CD20" i="51" s="1"/>
  <c r="BF25" i="51" l="1"/>
  <c r="BG10" i="51"/>
  <c r="BW10" i="51" l="1"/>
  <c r="BG25" i="51"/>
  <c r="BZ10" i="51" l="1"/>
  <c r="BW25" i="51"/>
  <c r="CD10" i="51" l="1"/>
  <c r="CD25" i="51" s="1"/>
  <c r="BZ25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863A8BC8-70DA-4CB3-9857-02D63ECE723C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Theo qđ 4886 24/6/2024</t>
        </r>
      </text>
    </comment>
    <comment ref="E6" authorId="0" shapeId="0" xr:uid="{3DCB8CCB-B0E6-4FA8-BCB2-2D52DC2E88C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Bỏ cột này vì đã có cột H rồi</t>
        </r>
      </text>
    </comment>
    <comment ref="T6" authorId="0" shapeId="0" xr:uid="{C07ED50A-F5F5-44A9-A508-8E6F6075D55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Xem lại ghi số tháng 5 hay là tháng 6 cho đúng</t>
        </r>
      </text>
    </comment>
    <comment ref="BF6" authorId="0" shapeId="0" xr:uid="{C25E7F98-12CE-464A-96E2-5B4E71BB332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Lên bỏ số tháng không cần ghi (vì đây là bảng lương của tháng 6 đã ghi ngay trên đầu biểu rồi</t>
        </r>
      </text>
    </comment>
    <comment ref="AY7" authorId="0" shapeId="0" xr:uid="{0935A1D4-1FD8-4148-ADB4-DA1D67C13C4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Bổ sung cột này</t>
        </r>
      </text>
    </comment>
    <comment ref="AJ8" authorId="0" shapeId="0" xr:uid="{1991B631-82DC-4825-918B-D8ED98FC7647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tạm trả 85%</t>
        </r>
      </text>
    </comment>
    <comment ref="AM8" authorId="0" shapeId="0" xr:uid="{C9EBF3CC-BEF5-4EE6-8B71-5B8FC425ABF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Tháng 8 không trả BSTN</t>
        </r>
      </text>
    </comment>
    <comment ref="AO8" authorId="0" shapeId="0" xr:uid="{810695F8-CD07-4EC7-AB82-146B5D245D5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thể dồn vào cột AN được vì cùng hưởng 1 mức lương (khi tính lương đát j công thức nhân với cột các loại công là được)</t>
        </r>
      </text>
    </comment>
    <comment ref="AK10" authorId="0" shapeId="0" xr:uid="{69B7284A-224B-4C99-950A-5C1238637B35}">
      <text>
        <r>
          <rPr>
            <b/>
            <sz val="9"/>
            <color indexed="81"/>
            <rFont val="Tahoma"/>
            <family val="2"/>
          </rPr>
          <t>Author:
Công thức đặt thiếu khi A chua nhân với ô B6 (85% tạm chi lương)</t>
        </r>
      </text>
    </comment>
    <comment ref="AL10" authorId="0" shapeId="0" xr:uid="{3C045918-3A3C-482D-966A-46C7D8E6BF11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Quản lý Không có lương lễ</t>
        </r>
      </text>
    </comment>
    <comment ref="AM11" authorId="0" shapeId="0" xr:uid="{4F8B22BC-6F51-45CC-B1D2-0BC1D51BF28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60%</t>
        </r>
      </text>
    </comment>
    <comment ref="AY21" authorId="0" shapeId="0" xr:uid="{B0C5806B-371B-40B5-8CCA-7C9A500FAE3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Đề nghị tính giảm trừ khi xếp loại B,C</t>
        </r>
      </text>
    </comment>
    <comment ref="D22" authorId="0" shapeId="0" xr:uid="{AB59A91D-D08A-4C78-8A0D-33C352825F68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QĐ số 8707 29/11/2024</t>
        </r>
      </text>
    </comment>
  </commentList>
</comments>
</file>

<file path=xl/sharedStrings.xml><?xml version="1.0" encoding="utf-8"?>
<sst xmlns="http://schemas.openxmlformats.org/spreadsheetml/2006/main" count="159" uniqueCount="107">
  <si>
    <t>TT</t>
  </si>
  <si>
    <t>Họ và tên</t>
  </si>
  <si>
    <t>Chức danh công việc</t>
  </si>
  <si>
    <t>Tiền lương chức danh công việc</t>
  </si>
  <si>
    <t>Các khoản phụ cấp</t>
  </si>
  <si>
    <t>Xếp loại LĐ</t>
  </si>
  <si>
    <t>Số công trong tháng hưởng lương</t>
  </si>
  <si>
    <t>Công trong tháng không hưởng lương</t>
  </si>
  <si>
    <t>Tiền lương nghỉ lễ</t>
  </si>
  <si>
    <t>Họ và tên</t>
  </si>
  <si>
    <t>Công đi làm</t>
  </si>
  <si>
    <t>&lt;30 km</t>
  </si>
  <si>
    <t>≥30 km</t>
  </si>
  <si>
    <t>Công nghỉ việc riêng, tạm hoãn HĐ</t>
  </si>
  <si>
    <t>Mức lương</t>
  </si>
  <si>
    <t>Phụ cấp trách nhiệm</t>
  </si>
  <si>
    <t xml:space="preserve">Nguyễn Việt Hải </t>
  </si>
  <si>
    <t>A</t>
  </si>
  <si>
    <t>Tô Huy Lượng</t>
  </si>
  <si>
    <t>Vũ Thanh Thảo</t>
  </si>
  <si>
    <t>GV</t>
  </si>
  <si>
    <t>Dương Công Minh</t>
  </si>
  <si>
    <t>Đặng Văn Tuệ</t>
  </si>
  <si>
    <t>Lý Sinh Quý</t>
  </si>
  <si>
    <t>Tổng cộng</t>
  </si>
  <si>
    <t>Các khoản trừ</t>
  </si>
  <si>
    <t>PC ATVSV</t>
  </si>
  <si>
    <t>Tiền còn lĩnh sau các khoản trừ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</si>
  <si>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</si>
  <si>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</si>
  <si>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</si>
  <si>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</si>
  <si>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</si>
  <si>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</si>
  <si>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Quỹ mái ấm công đoàn</t>
  </si>
  <si>
    <t>Trừ tiền  vay XN  TK 1388</t>
  </si>
  <si>
    <t xml:space="preserve">Trừ  tiền nhà ở, điện nước </t>
  </si>
  <si>
    <t>Trừ tiền nuôi con theo QĐ toàn án + Phí CT</t>
  </si>
  <si>
    <t>QT thuế TNCN 6T</t>
  </si>
  <si>
    <t>Cộng các khoản trừ</t>
  </si>
  <si>
    <t>Trần Trọng Lưu</t>
  </si>
  <si>
    <t>Bùi Thế Luyên</t>
  </si>
  <si>
    <t>Phó PH- TK</t>
  </si>
  <si>
    <t>Nguyễn Công San</t>
  </si>
  <si>
    <t>Hệ GDTX</t>
  </si>
  <si>
    <t>Nghề khác</t>
  </si>
  <si>
    <t>Điện thoại</t>
  </si>
  <si>
    <t>TT tổ ĐTBDSC</t>
  </si>
  <si>
    <t>Thạch Quang Nguyên</t>
  </si>
  <si>
    <t>Lê Công Hải</t>
  </si>
  <si>
    <t>Đỗ Nguyên Đạt</t>
  </si>
  <si>
    <t>CNSC</t>
  </si>
  <si>
    <t>Trừ đi tham quan Singapore</t>
  </si>
  <si>
    <t>Nguyễn Thị Thu Phương</t>
  </si>
  <si>
    <t>Nguyễn Hoàng Oanh</t>
  </si>
  <si>
    <t>Thực hiện cắt Polyp ở đợt khám sức khỏe</t>
  </si>
  <si>
    <t>Năm 2024</t>
  </si>
  <si>
    <t>Hà Thị Thanh Hoa</t>
  </si>
  <si>
    <t>Tham quan Hồng Kông đoàn 1</t>
  </si>
  <si>
    <t>Nhóm 1</t>
  </si>
  <si>
    <t>Tiền lương sửa chữa, Làm thêm giờ</t>
  </si>
  <si>
    <t>Trừ thuế TNCN T12-2024</t>
  </si>
  <si>
    <t>Trừ thuế TNCN T1-2025</t>
  </si>
  <si>
    <t xml:space="preserve">   TRƯỜNG CAO ĐẲNG THAN - KHOÁNG SẢN VIỆT NAM</t>
  </si>
  <si>
    <t>KHOA CƠ KHÍ, VẬN HÀNH THIẾT BỊ MỎ, PHÂN HIỆU ĐÀO TẠO CẨM PHẢ</t>
  </si>
  <si>
    <t>Tiền lương đóng BHXH năm 2025</t>
  </si>
  <si>
    <t>Lương vượt giờ  năm 2024</t>
  </si>
  <si>
    <t>Biểu 06</t>
  </si>
  <si>
    <t>TẬP ĐOÀN CÔNG NGHIỆP THAN - KHOÁNG SẢN VIỆT NAM</t>
  </si>
  <si>
    <t>Mức tiền lương cơ bản (đ/tháng)</t>
  </si>
  <si>
    <t>Tiền lương</t>
  </si>
  <si>
    <t>Công nghỉ lễ</t>
  </si>
  <si>
    <t>Công thử việc</t>
  </si>
  <si>
    <t>Lương phép, hè, học, BD, khác( hưởng lương BHXH)</t>
  </si>
  <si>
    <t>Lương thử việc</t>
  </si>
  <si>
    <t>PC Trách nhiệm</t>
  </si>
  <si>
    <t>PC giáo viên giỏi</t>
  </si>
  <si>
    <t>Lương tuyển sinh SCN Hệ A</t>
  </si>
  <si>
    <t>Hệ A trung cấp nghề; Hệ GDTX</t>
  </si>
  <si>
    <t>Khác, 
 / Truy lĩnh nâng lương chức danh T1/2025 (+)</t>
  </si>
  <si>
    <t xml:space="preserve">Khác, 
Truy thu (-) </t>
  </si>
  <si>
    <t>Công không hưởng lương; Công nghỉ hưởng BHXH</t>
  </si>
  <si>
    <t>Các phụ cấp</t>
  </si>
  <si>
    <t xml:space="preserve">Công khác (học, kiểm kê,..)hưởng thêm giờ </t>
  </si>
  <si>
    <t>Công s/c vượt, thêm giờ</t>
  </si>
  <si>
    <t>TBM CN ô tô-VHTB</t>
  </si>
  <si>
    <t>TBM CK-TK</t>
  </si>
  <si>
    <t>BHTT năm 2025</t>
  </si>
  <si>
    <t>Công hưởng lương chức danh ( học, họp, VN,)</t>
  </si>
  <si>
    <t>Tiền lương BSTN tạm trả</t>
  </si>
  <si>
    <t>Tiền lương chức danh khác</t>
  </si>
  <si>
    <t>Lương vượt giờ  Từ T04/2025</t>
  </si>
  <si>
    <t>Lương vượt giờ  Từ T01÷3/2025</t>
  </si>
  <si>
    <t>Từ T4/2025</t>
  </si>
  <si>
    <t>Giảm trừ BSTN do xếp loại B,C</t>
  </si>
  <si>
    <t>Công khác (phép, học, họp, VN, BD, viêc riêng) hưởng lương BH</t>
  </si>
  <si>
    <t>Từ T1÷3/2025</t>
  </si>
  <si>
    <t xml:space="preserve">Tổng lương </t>
  </si>
  <si>
    <t>Tiền lương cơ bản (Tạm trả 85%)</t>
  </si>
  <si>
    <t>Trừ 0,5% ĐP công đoàn</t>
  </si>
  <si>
    <t>PC - ATV</t>
  </si>
  <si>
    <t>Tiền lương hưởng trong tháng</t>
  </si>
  <si>
    <t>Tiền lương chất lượng công việc (Tạm trả 85%)</t>
  </si>
  <si>
    <t>Giờ vượt thanh toán tháng 9/2025</t>
  </si>
  <si>
    <r>
      <t xml:space="preserve">Từ </t>
    </r>
    <r>
      <rPr>
        <b/>
        <sz val="11"/>
        <color rgb="FFFF0000"/>
        <rFont val="Times New Roman"/>
        <family val="1"/>
      </rPr>
      <t>T1÷3</t>
    </r>
    <r>
      <rPr>
        <b/>
        <sz val="11"/>
        <rFont val="Times New Roman"/>
        <family val="1"/>
      </rPr>
      <t>/2025</t>
    </r>
  </si>
  <si>
    <t>Trừ thuế TNCN T9.2025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</si>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</sst>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 * #,##0_ ;_ * \-#,##0_ ;_ * &quot;-&quot;??_ ;_ @_ "/>
    <numFmt numFmtId="166" formatCode="_ * #,##0.0_ ;_ * \-#,##0.0_ ;_ * &quot;-&quot;??_ ;_ @_ "/>
    <numFmt numFmtId="167" formatCode="_ * #,##0.00_ ;_ * \-#,##0.00_ ;_ * &quot;-&quot;??_ ;_ @_ "/>
    <numFmt numFmtId="168" formatCode="0.0%"/>
    <numFmt numFmtId="169" formatCode="_(* #,##0_);_(* \(#,##0\);_(* &quot;-&quot;??_);_(@_)"/>
    <numFmt numFmtId="170" formatCode="_(* #,##0.0_);_(* \(#,##0.0\);_(* &quot;-&quot;??_);_(@_)"/>
    <numFmt numFmtId="174" formatCode="_-* #,##0_-;\-* #,##0_-;_-* &quot;-&quot;??_-;_-@_-"/>
  </numFmts>
  <fonts count="42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1"/>
      <color indexed="8"/>
      <name val="Times New Roman"/>
      <family val="2"/>
    </font>
    <font>
      <sz val="10"/>
      <name val="Arial"/>
      <family val="2"/>
      <charset val="163"/>
    </font>
    <font>
      <sz val="11"/>
      <color indexed="8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</font>
    <font>
      <sz val="11"/>
      <color theme="1"/>
      <name val="Times New Roman"/>
      <family val="2"/>
      <charset val="163"/>
    </font>
    <font>
      <b/>
      <u/>
      <sz val="12"/>
      <name val="Times New Roman"/>
      <family val="1"/>
    </font>
    <font>
      <sz val="10"/>
      <name val=".VnTime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Times New Roman"/>
      <family val="1"/>
    </font>
    <font>
      <sz val="12"/>
      <color rgb="FF0000FF"/>
      <name val="Times New Roman"/>
      <family val="1"/>
    </font>
    <font>
      <b/>
      <u/>
      <sz val="12"/>
      <color rgb="FF0000FF"/>
      <name val="Times New Roman"/>
      <family val="1"/>
    </font>
    <font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4"/>
      <name val="Times New Roman"/>
      <family val="1"/>
    </font>
    <font>
      <b/>
      <sz val="12"/>
      <color rgb="FFFF0000"/>
      <name val="Times New Roman"/>
      <family val="1"/>
    </font>
    <font>
      <sz val="14"/>
      <color rgb="FFFF0000"/>
      <name val="Times New Roman"/>
      <family val="1"/>
    </font>
    <font>
      <sz val="12"/>
      <name val="Cambria"/>
      <family val="1"/>
      <scheme val="major"/>
    </font>
    <font>
      <b/>
      <sz val="12"/>
      <name val="Cambria"/>
      <family val="2"/>
      <scheme val="major"/>
    </font>
    <font>
      <sz val="12"/>
      <color rgb="FF0000FF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color rgb="FFFF0000"/>
      <name val="Times New Roman"/>
      <family val="1"/>
    </font>
    <font>
      <b/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167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  <xf numFmtId="0" fontId="11" fillId="0" borderId="0"/>
    <xf numFmtId="0" fontId="10" fillId="0" borderId="0"/>
    <xf numFmtId="16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4" fillId="0" borderId="0"/>
    <xf numFmtId="0" fontId="14" fillId="0" borderId="0"/>
    <xf numFmtId="9" fontId="2" fillId="0" borderId="0" applyFont="0" applyFill="0" applyBorder="0" applyAlignment="0" applyProtection="0"/>
    <xf numFmtId="0" fontId="17" fillId="0" borderId="0"/>
    <xf numFmtId="0" fontId="17" fillId="0" borderId="0"/>
    <xf numFmtId="0" fontId="15" fillId="0" borderId="0"/>
    <xf numFmtId="0" fontId="17" fillId="0" borderId="0">
      <alignment vertical="top"/>
    </xf>
    <xf numFmtId="0" fontId="17" fillId="0" borderId="0">
      <alignment vertical="top"/>
    </xf>
    <xf numFmtId="0" fontId="10" fillId="0" borderId="0"/>
    <xf numFmtId="0" fontId="17" fillId="0" borderId="0"/>
    <xf numFmtId="164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9" fillId="0" borderId="0">
      <alignment vertical="top"/>
    </xf>
    <xf numFmtId="43" fontId="10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20" fillId="2" borderId="6" xfId="1" applyNumberFormat="1" applyFont="1" applyFill="1" applyBorder="1" applyAlignment="1">
      <alignment vertical="center" shrinkToFit="1"/>
    </xf>
    <xf numFmtId="165" fontId="20" fillId="2" borderId="5" xfId="1" applyNumberFormat="1" applyFont="1" applyFill="1" applyBorder="1" applyAlignment="1">
      <alignment vertical="center" shrinkToFit="1"/>
    </xf>
    <xf numFmtId="165" fontId="20" fillId="2" borderId="7" xfId="1" applyNumberFormat="1" applyFont="1" applyFill="1" applyBorder="1" applyAlignment="1">
      <alignment vertical="center" shrinkToFit="1"/>
    </xf>
    <xf numFmtId="165" fontId="21" fillId="2" borderId="6" xfId="1" applyNumberFormat="1" applyFont="1" applyFill="1" applyBorder="1" applyAlignment="1">
      <alignment vertical="center" shrinkToFit="1"/>
    </xf>
    <xf numFmtId="166" fontId="2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6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9" fontId="25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vertical="center"/>
    </xf>
    <xf numFmtId="166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vertical="center"/>
    </xf>
    <xf numFmtId="165" fontId="2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167" fontId="8" fillId="0" borderId="0" xfId="1" applyFont="1" applyFill="1" applyBorder="1" applyAlignment="1">
      <alignment vertical="center"/>
    </xf>
    <xf numFmtId="166" fontId="8" fillId="0" borderId="0" xfId="1" applyNumberFormat="1" applyFont="1" applyFill="1" applyBorder="1" applyAlignment="1">
      <alignment vertical="center"/>
    </xf>
    <xf numFmtId="165" fontId="22" fillId="2" borderId="0" xfId="0" applyNumberFormat="1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168" fontId="25" fillId="2" borderId="0" xfId="1" applyNumberFormat="1" applyFont="1" applyFill="1" applyAlignment="1">
      <alignment vertical="center"/>
    </xf>
    <xf numFmtId="165" fontId="25" fillId="2" borderId="0" xfId="0" applyNumberFormat="1" applyFont="1" applyFill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33" fillId="2" borderId="0" xfId="0" applyFont="1" applyFill="1"/>
    <xf numFmtId="0" fontId="35" fillId="2" borderId="0" xfId="0" applyFont="1" applyFill="1"/>
    <xf numFmtId="0" fontId="32" fillId="2" borderId="0" xfId="0" applyFont="1" applyFill="1"/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169" fontId="2" fillId="2" borderId="6" xfId="1" applyNumberFormat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vertical="center"/>
    </xf>
    <xf numFmtId="169" fontId="2" fillId="2" borderId="6" xfId="1" applyNumberFormat="1" applyFont="1" applyFill="1" applyBorder="1" applyAlignment="1">
      <alignment vertical="center"/>
    </xf>
    <xf numFmtId="165" fontId="2" fillId="2" borderId="6" xfId="7" applyNumberFormat="1" applyFont="1" applyFill="1" applyBorder="1" applyAlignment="1">
      <alignment horizontal="center" vertical="center"/>
    </xf>
    <xf numFmtId="3" fontId="2" fillId="2" borderId="6" xfId="2" applyNumberFormat="1" applyFont="1" applyFill="1" applyBorder="1" applyAlignment="1">
      <alignment horizontal="center" vertical="center"/>
    </xf>
    <xf numFmtId="165" fontId="2" fillId="2" borderId="6" xfId="3" applyNumberFormat="1" applyFont="1" applyFill="1" applyBorder="1" applyAlignment="1">
      <alignment horizontal="center" vertical="center"/>
    </xf>
    <xf numFmtId="165" fontId="2" fillId="2" borderId="6" xfId="3" applyNumberFormat="1" applyFont="1" applyFill="1" applyBorder="1" applyAlignment="1">
      <alignment vertical="center"/>
    </xf>
    <xf numFmtId="170" fontId="2" fillId="2" borderId="6" xfId="1" applyNumberFormat="1" applyFont="1" applyFill="1" applyBorder="1" applyAlignment="1">
      <alignment vertical="center"/>
    </xf>
    <xf numFmtId="166" fontId="2" fillId="2" borderId="6" xfId="1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vertical="center"/>
    </xf>
    <xf numFmtId="169" fontId="26" fillId="2" borderId="6" xfId="1" applyNumberFormat="1" applyFont="1" applyFill="1" applyBorder="1" applyAlignment="1">
      <alignment vertical="center"/>
    </xf>
    <xf numFmtId="165" fontId="2" fillId="2" borderId="6" xfId="1" applyNumberFormat="1" applyFont="1" applyFill="1" applyBorder="1" applyAlignment="1" applyProtection="1">
      <alignment vertical="center"/>
    </xf>
    <xf numFmtId="169" fontId="2" fillId="2" borderId="6" xfId="1" applyNumberFormat="1" applyFont="1" applyFill="1" applyBorder="1" applyAlignment="1">
      <alignment horizontal="right" vertical="center"/>
    </xf>
    <xf numFmtId="165" fontId="8" fillId="2" borderId="6" xfId="0" applyNumberFormat="1" applyFont="1" applyFill="1" applyBorder="1" applyAlignment="1">
      <alignment horizontal="center" vertical="center"/>
    </xf>
    <xf numFmtId="165" fontId="28" fillId="2" borderId="6" xfId="1" applyNumberFormat="1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vertical="center"/>
    </xf>
    <xf numFmtId="3" fontId="2" fillId="2" borderId="5" xfId="2" applyNumberFormat="1" applyFont="1" applyFill="1" applyBorder="1" applyAlignment="1">
      <alignment horizontal="center" vertical="center"/>
    </xf>
    <xf numFmtId="165" fontId="2" fillId="2" borderId="5" xfId="7" applyNumberFormat="1" applyFont="1" applyFill="1" applyBorder="1" applyAlignment="1">
      <alignment horizontal="center" vertical="center"/>
    </xf>
    <xf numFmtId="165" fontId="2" fillId="2" borderId="5" xfId="3" applyNumberFormat="1" applyFont="1" applyFill="1" applyBorder="1" applyAlignment="1">
      <alignment horizontal="center" vertical="center"/>
    </xf>
    <xf numFmtId="166" fontId="2" fillId="2" borderId="5" xfId="3" applyNumberFormat="1" applyFont="1" applyFill="1" applyBorder="1" applyAlignment="1">
      <alignment vertical="center"/>
    </xf>
    <xf numFmtId="165" fontId="2" fillId="2" borderId="5" xfId="3" applyNumberFormat="1" applyFont="1" applyFill="1" applyBorder="1" applyAlignment="1">
      <alignment vertical="center"/>
    </xf>
    <xf numFmtId="170" fontId="2" fillId="2" borderId="5" xfId="1" applyNumberFormat="1" applyFont="1" applyFill="1" applyBorder="1" applyAlignment="1">
      <alignment vertical="center"/>
    </xf>
    <xf numFmtId="166" fontId="2" fillId="2" borderId="5" xfId="1" applyNumberFormat="1" applyFont="1" applyFill="1" applyBorder="1" applyAlignment="1">
      <alignment vertical="center"/>
    </xf>
    <xf numFmtId="165" fontId="2" fillId="2" borderId="5" xfId="1" applyNumberFormat="1" applyFont="1" applyFill="1" applyBorder="1" applyAlignment="1">
      <alignment vertical="center"/>
    </xf>
    <xf numFmtId="167" fontId="2" fillId="2" borderId="5" xfId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horizontal="center" vertical="center"/>
    </xf>
    <xf numFmtId="169" fontId="26" fillId="2" borderId="5" xfId="1" applyNumberFormat="1" applyFont="1" applyFill="1" applyBorder="1" applyAlignment="1">
      <alignment vertical="center"/>
    </xf>
    <xf numFmtId="169" fontId="2" fillId="2" borderId="5" xfId="1" applyNumberFormat="1" applyFont="1" applyFill="1" applyBorder="1" applyAlignment="1">
      <alignment vertical="center"/>
    </xf>
    <xf numFmtId="165" fontId="2" fillId="2" borderId="5" xfId="1" applyNumberFormat="1" applyFont="1" applyFill="1" applyBorder="1" applyAlignment="1" applyProtection="1">
      <alignment vertical="center"/>
    </xf>
    <xf numFmtId="169" fontId="2" fillId="2" borderId="5" xfId="6" applyNumberFormat="1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horizontal="center" vertical="center"/>
    </xf>
    <xf numFmtId="165" fontId="28" fillId="2" borderId="5" xfId="1" applyNumberFormat="1" applyFont="1" applyFill="1" applyBorder="1" applyAlignment="1">
      <alignment vertical="center" shrinkToFit="1"/>
    </xf>
    <xf numFmtId="165" fontId="21" fillId="2" borderId="5" xfId="1" applyNumberFormat="1" applyFont="1" applyFill="1" applyBorder="1" applyAlignment="1">
      <alignment vertical="center" shrinkToFit="1"/>
    </xf>
    <xf numFmtId="164" fontId="2" fillId="2" borderId="5" xfId="1" applyNumberFormat="1" applyFont="1" applyFill="1" applyBorder="1" applyAlignment="1">
      <alignment vertical="center"/>
    </xf>
    <xf numFmtId="3" fontId="2" fillId="2" borderId="5" xfId="39" applyNumberFormat="1" applyFont="1" applyFill="1" applyBorder="1" applyAlignment="1">
      <alignment horizontal="right" vertical="center"/>
    </xf>
    <xf numFmtId="167" fontId="2" fillId="2" borderId="5" xfId="3" applyNumberFormat="1" applyFont="1" applyFill="1" applyBorder="1" applyAlignment="1">
      <alignment vertical="center"/>
    </xf>
    <xf numFmtId="165" fontId="2" fillId="2" borderId="5" xfId="1" applyNumberFormat="1" applyFont="1" applyFill="1" applyBorder="1" applyAlignment="1" applyProtection="1">
      <alignment horizontal="right" vertical="center"/>
    </xf>
    <xf numFmtId="165" fontId="8" fillId="2" borderId="5" xfId="0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165" fontId="34" fillId="2" borderId="5" xfId="1" applyNumberFormat="1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vertical="center"/>
    </xf>
    <xf numFmtId="165" fontId="2" fillId="2" borderId="7" xfId="3" applyNumberFormat="1" applyFont="1" applyFill="1" applyBorder="1" applyAlignment="1">
      <alignment vertical="center"/>
    </xf>
    <xf numFmtId="165" fontId="2" fillId="2" borderId="7" xfId="7" applyNumberFormat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165" fontId="2" fillId="2" borderId="7" xfId="3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vertical="center"/>
    </xf>
    <xf numFmtId="170" fontId="2" fillId="2" borderId="7" xfId="1" applyNumberFormat="1" applyFont="1" applyFill="1" applyBorder="1" applyAlignment="1">
      <alignment vertical="center"/>
    </xf>
    <xf numFmtId="166" fontId="2" fillId="2" borderId="7" xfId="3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vertical="center"/>
    </xf>
    <xf numFmtId="169" fontId="26" fillId="2" borderId="7" xfId="1" applyNumberFormat="1" applyFont="1" applyFill="1" applyBorder="1" applyAlignment="1">
      <alignment vertical="center"/>
    </xf>
    <xf numFmtId="169" fontId="2" fillId="2" borderId="7" xfId="1" applyNumberFormat="1" applyFont="1" applyFill="1" applyBorder="1" applyAlignment="1">
      <alignment vertical="center"/>
    </xf>
    <xf numFmtId="165" fontId="2" fillId="2" borderId="7" xfId="1" applyNumberFormat="1" applyFont="1" applyFill="1" applyBorder="1" applyAlignment="1" applyProtection="1">
      <alignment vertical="center"/>
    </xf>
    <xf numFmtId="169" fontId="2" fillId="2" borderId="7" xfId="6" applyNumberFormat="1" applyFont="1" applyFill="1" applyBorder="1" applyAlignment="1">
      <alignment vertical="center"/>
    </xf>
    <xf numFmtId="165" fontId="2" fillId="2" borderId="7" xfId="1" applyNumberFormat="1" applyFont="1" applyFill="1" applyBorder="1" applyAlignment="1" applyProtection="1">
      <alignment horizontal="right" vertical="center"/>
    </xf>
    <xf numFmtId="165" fontId="8" fillId="2" borderId="7" xfId="0" applyNumberFormat="1" applyFont="1" applyFill="1" applyBorder="1" applyAlignment="1">
      <alignment vertical="center"/>
    </xf>
    <xf numFmtId="165" fontId="8" fillId="2" borderId="7" xfId="0" applyNumberFormat="1" applyFont="1" applyFill="1" applyBorder="1" applyAlignment="1">
      <alignment horizontal="center" vertical="center"/>
    </xf>
    <xf numFmtId="165" fontId="28" fillId="2" borderId="7" xfId="1" applyNumberFormat="1" applyFont="1" applyFill="1" applyBorder="1" applyAlignment="1">
      <alignment vertical="center" shrinkToFit="1"/>
    </xf>
    <xf numFmtId="165" fontId="21" fillId="2" borderId="7" xfId="1" applyNumberFormat="1" applyFont="1" applyFill="1" applyBorder="1" applyAlignment="1">
      <alignment vertical="center" shrinkToFit="1"/>
    </xf>
    <xf numFmtId="0" fontId="3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166" fontId="36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165" fontId="36" fillId="0" borderId="0" xfId="1" applyNumberFormat="1" applyFont="1" applyFill="1" applyAlignment="1">
      <alignment vertical="center"/>
    </xf>
    <xf numFmtId="165" fontId="36" fillId="0" borderId="0" xfId="1" applyNumberFormat="1" applyFont="1" applyFill="1" applyAlignment="1">
      <alignment horizontal="center" vertical="center"/>
    </xf>
    <xf numFmtId="0" fontId="39" fillId="0" borderId="0" xfId="0" applyFont="1" applyAlignment="1">
      <alignment vertical="center"/>
    </xf>
    <xf numFmtId="0" fontId="41" fillId="2" borderId="4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74" fontId="8" fillId="2" borderId="4" xfId="40" applyNumberFormat="1" applyFont="1" applyFill="1" applyBorder="1" applyAlignment="1">
      <alignment horizontal="center" vertical="center"/>
    </xf>
    <xf numFmtId="174" fontId="34" fillId="2" borderId="4" xfId="40" applyNumberFormat="1" applyFont="1" applyFill="1" applyBorder="1" applyAlignment="1">
      <alignment vertical="center"/>
    </xf>
    <xf numFmtId="174" fontId="8" fillId="2" borderId="0" xfId="40" applyNumberFormat="1" applyFont="1" applyFill="1" applyAlignment="1">
      <alignment vertical="center"/>
    </xf>
    <xf numFmtId="174" fontId="37" fillId="0" borderId="0" xfId="40" applyNumberFormat="1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165" fontId="21" fillId="2" borderId="6" xfId="1" applyNumberFormat="1" applyFont="1" applyFill="1" applyBorder="1" applyAlignment="1">
      <alignment horizontal="center" vertical="center" wrapText="1" shrinkToFit="1"/>
    </xf>
    <xf numFmtId="165" fontId="21" fillId="2" borderId="5" xfId="1" applyNumberFormat="1" applyFont="1" applyFill="1" applyBorder="1" applyAlignment="1">
      <alignment horizontal="center" vertical="center" wrapText="1" shrinkToFi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65" fontId="21" fillId="2" borderId="6" xfId="1" applyNumberFormat="1" applyFont="1" applyFill="1" applyBorder="1" applyAlignment="1">
      <alignment horizontal="center" vertical="center" shrinkToFit="1"/>
    </xf>
    <xf numFmtId="165" fontId="21" fillId="2" borderId="5" xfId="1" applyNumberFormat="1" applyFont="1" applyFill="1" applyBorder="1" applyAlignment="1">
      <alignment horizontal="center" vertical="center" shrinkToFit="1"/>
    </xf>
    <xf numFmtId="165" fontId="21" fillId="2" borderId="1" xfId="1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textRotation="90" wrapText="1"/>
    </xf>
    <xf numFmtId="0" fontId="30" fillId="2" borderId="4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center" vertical="center" wrapText="1"/>
    </xf>
    <xf numFmtId="166" fontId="1" fillId="2" borderId="9" xfId="0" applyNumberFormat="1" applyFont="1" applyFill="1" applyBorder="1" applyAlignment="1">
      <alignment horizontal="center" vertical="center" wrapText="1"/>
    </xf>
    <xf numFmtId="166" fontId="1" fillId="2" borderId="1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41">
    <cellStyle name="Bình thường 6" xfId="5" xr:uid="{00000000-0005-0000-0000-000000000000}"/>
    <cellStyle name="Comma" xfId="40" builtinId="3"/>
    <cellStyle name="Comma 10" xfId="38" xr:uid="{00000000-0005-0000-0000-000001000000}"/>
    <cellStyle name="Comma 11" xfId="6" xr:uid="{00000000-0005-0000-0000-000002000000}"/>
    <cellStyle name="Comma 2" xfId="1" xr:uid="{00000000-0005-0000-0000-000003000000}"/>
    <cellStyle name="Comma 2 2" xfId="3" xr:uid="{00000000-0005-0000-0000-000004000000}"/>
    <cellStyle name="Comma 2 2 2" xfId="7" xr:uid="{00000000-0005-0000-0000-000005000000}"/>
    <cellStyle name="Comma 2 2 2 2" xfId="8" xr:uid="{00000000-0005-0000-0000-000006000000}"/>
    <cellStyle name="Comma 2 2 2 2 2" xfId="31" xr:uid="{00000000-0005-0000-0000-000007000000}"/>
    <cellStyle name="Comma 2 2 2 3" xfId="30" xr:uid="{00000000-0005-0000-0000-000008000000}"/>
    <cellStyle name="Comma 2_Thanh toan coi cham thi thang 6 nam 2011" xfId="9" xr:uid="{00000000-0005-0000-0000-000009000000}"/>
    <cellStyle name="Comma 3" xfId="10" xr:uid="{00000000-0005-0000-0000-00000A000000}"/>
    <cellStyle name="Comma 3 2" xfId="11" xr:uid="{00000000-0005-0000-0000-00000B000000}"/>
    <cellStyle name="Comma 3 2 2" xfId="32" xr:uid="{00000000-0005-0000-0000-00000C000000}"/>
    <cellStyle name="Comma 4" xfId="12" xr:uid="{00000000-0005-0000-0000-00000D000000}"/>
    <cellStyle name="Comma 4 2" xfId="33" xr:uid="{00000000-0005-0000-0000-00000E000000}"/>
    <cellStyle name="Comma 5" xfId="29" xr:uid="{00000000-0005-0000-0000-00000F000000}"/>
    <cellStyle name="Comma 6" xfId="36" xr:uid="{00000000-0005-0000-0000-000010000000}"/>
    <cellStyle name="Comma 7" xfId="13" xr:uid="{00000000-0005-0000-0000-000011000000}"/>
    <cellStyle name="Comma 7 2" xfId="14" xr:uid="{00000000-0005-0000-0000-000012000000}"/>
    <cellStyle name="Comma 7 2 2" xfId="34" xr:uid="{00000000-0005-0000-0000-000013000000}"/>
    <cellStyle name="Comma 8" xfId="28" xr:uid="{00000000-0005-0000-0000-000014000000}"/>
    <cellStyle name="Comma 8 2" xfId="37" xr:uid="{00000000-0005-0000-0000-000015000000}"/>
    <cellStyle name="Comma 9" xfId="15" xr:uid="{00000000-0005-0000-0000-000016000000}"/>
    <cellStyle name="Comma 9 2" xfId="16" xr:uid="{00000000-0005-0000-0000-000017000000}"/>
    <cellStyle name="Comma 9 2 2" xfId="35" xr:uid="{00000000-0005-0000-0000-000018000000}"/>
    <cellStyle name="Normal" xfId="0" builtinId="0"/>
    <cellStyle name="Normal 101" xfId="26" xr:uid="{00000000-0005-0000-0000-00001A000000}"/>
    <cellStyle name="Normal 110" xfId="23" xr:uid="{00000000-0005-0000-0000-00001B000000}"/>
    <cellStyle name="Normal 114" xfId="27" xr:uid="{00000000-0005-0000-0000-00001C000000}"/>
    <cellStyle name="Normal 126" xfId="25" xr:uid="{00000000-0005-0000-0000-00001D000000}"/>
    <cellStyle name="Normal 13 2" xfId="24" xr:uid="{00000000-0005-0000-0000-00001E000000}"/>
    <cellStyle name="Normal 2" xfId="17" xr:uid="{00000000-0005-0000-0000-00001F000000}"/>
    <cellStyle name="Normal 3" xfId="2" xr:uid="{00000000-0005-0000-0000-000020000000}"/>
    <cellStyle name="Normal 4" xfId="18" xr:uid="{00000000-0005-0000-0000-000021000000}"/>
    <cellStyle name="Normal 41" xfId="22" xr:uid="{00000000-0005-0000-0000-000022000000}"/>
    <cellStyle name="Normal 5" xfId="19" xr:uid="{00000000-0005-0000-0000-000023000000}"/>
    <cellStyle name="Normal 59" xfId="21" xr:uid="{00000000-0005-0000-0000-000024000000}"/>
    <cellStyle name="Normal 6" xfId="4" xr:uid="{00000000-0005-0000-0000-000025000000}"/>
    <cellStyle name="Normal_CT HSSV - PHCP KK (OK)" xfId="39" xr:uid="{00000000-0005-0000-0000-000026000000}"/>
    <cellStyle name="Percent 3" xfId="20" xr:uid="{00000000-0005-0000-0000-00002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</xdr:row>
      <xdr:rowOff>180975</xdr:rowOff>
    </xdr:from>
    <xdr:to>
      <xdr:col>3</xdr:col>
      <xdr:colOff>457200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FBBBE51-CA3B-9C3F-FFBF-20DF502D86AD}"/>
            </a:ext>
          </a:extLst>
        </xdr:cNvPr>
        <xdr:cNvCxnSpPr/>
      </xdr:nvCxnSpPr>
      <xdr:spPr>
        <a:xfrm flipV="1">
          <a:off x="800100" y="381000"/>
          <a:ext cx="24384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9F8C-631D-46DC-A2BF-441F5C596DA6}">
  <sheetPr>
    <pageSetUpPr fitToPage="1"/>
  </sheetPr>
  <dimension ref="A1:CE60"/>
  <sheetViews>
    <sheetView tabSelected="1" workbookViewId="0">
      <pane xSplit="2" ySplit="9" topLeftCell="BU22" activePane="bottomRight" state="frozen"/>
      <selection pane="topRight" activeCell="C1" sqref="C1"/>
      <selection pane="bottomLeft" activeCell="A12" sqref="A12"/>
      <selection pane="bottomRight" activeCell="I6" sqref="I6:I9"/>
    </sheetView>
  </sheetViews>
  <sheetFormatPr defaultColWidth="5.33203125" defaultRowHeight="15.6"/>
  <cols>
    <col min="1" max="1" width="4.6640625" style="128" customWidth="1"/>
    <col min="2" max="2" width="25.6640625" style="123" customWidth="1"/>
    <col min="3" max="3" width="11.33203125" style="123" customWidth="1"/>
    <col min="4" max="4" width="16" style="123" customWidth="1"/>
    <col min="5" max="5" width="15" style="123" hidden="1" customWidth="1"/>
    <col min="6" max="6" width="16.44140625" style="123" customWidth="1"/>
    <col min="7" max="7" width="16.5546875" style="123" customWidth="1"/>
    <col min="8" max="8" width="11.88671875" style="123" customWidth="1"/>
    <col min="9" max="9" width="8.5546875" style="129" customWidth="1"/>
    <col min="10" max="10" width="8.5546875" style="128" customWidth="1"/>
    <col min="11" max="11" width="15" style="128" hidden="1" customWidth="1"/>
    <col min="12" max="12" width="11.44140625" style="128" hidden="1" customWidth="1"/>
    <col min="13" max="14" width="15" style="128" hidden="1" customWidth="1"/>
    <col min="15" max="15" width="7" style="128" hidden="1" customWidth="1"/>
    <col min="16" max="16" width="11.5546875" style="128" customWidth="1"/>
    <col min="17" max="18" width="15" style="128" hidden="1" customWidth="1"/>
    <col min="19" max="19" width="11.5546875" style="128" hidden="1" customWidth="1"/>
    <col min="20" max="29" width="15" style="130" hidden="1" customWidth="1"/>
    <col min="30" max="30" width="8.6640625" style="130" customWidth="1"/>
    <col min="31" max="31" width="8.6640625" style="130" hidden="1" customWidth="1"/>
    <col min="32" max="32" width="8.6640625" style="130" customWidth="1"/>
    <col min="33" max="33" width="8.6640625" style="130" hidden="1" customWidth="1"/>
    <col min="34" max="35" width="8.6640625" style="130" customWidth="1"/>
    <col min="36" max="38" width="15" style="123" customWidth="1"/>
    <col min="39" max="42" width="15" style="123" hidden="1" customWidth="1"/>
    <col min="43" max="43" width="15" style="131" customWidth="1"/>
    <col min="44" max="44" width="15" style="123" hidden="1" customWidth="1"/>
    <col min="45" max="46" width="15" style="123" customWidth="1"/>
    <col min="47" max="51" width="15" style="123" hidden="1" customWidth="1"/>
    <col min="52" max="52" width="15" style="132" customWidth="1"/>
    <col min="53" max="57" width="15" style="123" hidden="1" customWidth="1"/>
    <col min="58" max="58" width="16.6640625" style="128" customWidth="1"/>
    <col min="59" max="59" width="13.33203125" style="28" customWidth="1"/>
    <col min="60" max="60" width="12.5546875" style="28" customWidth="1"/>
    <col min="61" max="61" width="12.109375" style="28" customWidth="1"/>
    <col min="62" max="62" width="11.6640625" style="28" customWidth="1"/>
    <col min="63" max="63" width="10" style="28" hidden="1" customWidth="1"/>
    <col min="64" max="64" width="12.33203125" style="28" hidden="1" customWidth="1"/>
    <col min="65" max="65" width="15" style="28" hidden="1" customWidth="1"/>
    <col min="66" max="66" width="10.88671875" style="28" hidden="1" customWidth="1"/>
    <col min="67" max="67" width="17.6640625" style="28" hidden="1" customWidth="1"/>
    <col min="68" max="68" width="11.6640625" style="28" hidden="1" customWidth="1"/>
    <col min="69" max="69" width="16.6640625" style="28" hidden="1" customWidth="1"/>
    <col min="70" max="70" width="10.88671875" style="28" hidden="1" customWidth="1"/>
    <col min="71" max="71" width="12.88671875" style="28" customWidth="1"/>
    <col min="72" max="72" width="14.33203125" style="28" hidden="1" customWidth="1"/>
    <col min="73" max="73" width="12.33203125" style="28" customWidth="1"/>
    <col min="74" max="74" width="18" style="28" hidden="1" customWidth="1"/>
    <col min="75" max="75" width="13.33203125" style="28" customWidth="1"/>
    <col min="76" max="76" width="8.44140625" style="28" customWidth="1"/>
    <col min="77" max="77" width="10.88671875" style="28" hidden="1" customWidth="1"/>
    <col min="78" max="78" width="13.6640625" style="28" customWidth="1"/>
    <col min="79" max="79" width="11.6640625" style="28" customWidth="1"/>
    <col min="80" max="80" width="6.44140625" style="28" customWidth="1"/>
    <col min="81" max="81" width="12.109375" style="28" customWidth="1"/>
    <col min="82" max="82" width="15.5546875" style="28" customWidth="1"/>
    <col min="83" max="83" width="5.33203125" style="20"/>
    <col min="84" max="16384" width="5.33203125" style="123"/>
  </cols>
  <sheetData>
    <row r="1" spans="1:83">
      <c r="A1" s="2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2"/>
      <c r="AK1" s="2"/>
      <c r="AL1" s="2"/>
      <c r="AM1" s="2"/>
      <c r="AN1" s="2"/>
      <c r="AO1" s="2"/>
      <c r="AP1" s="2"/>
      <c r="AQ1" s="11"/>
      <c r="AR1" s="2"/>
      <c r="AS1" s="2"/>
      <c r="AT1" s="2"/>
      <c r="AU1" s="2"/>
      <c r="AV1" s="2"/>
      <c r="AW1" s="2"/>
      <c r="AX1" s="2"/>
      <c r="AY1" s="2"/>
      <c r="AZ1" s="12"/>
      <c r="BA1" s="3"/>
      <c r="BB1" s="3"/>
      <c r="BC1" s="3"/>
      <c r="BD1" s="3"/>
      <c r="BE1" s="2"/>
      <c r="BF1" s="3"/>
      <c r="CA1" s="36"/>
      <c r="CB1" s="36"/>
      <c r="CC1" s="35" t="s">
        <v>67</v>
      </c>
      <c r="CD1" s="36"/>
    </row>
    <row r="2" spans="1:83">
      <c r="A2" s="4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4"/>
      <c r="AK2" s="14"/>
      <c r="AL2" s="14"/>
      <c r="AM2" s="14"/>
      <c r="AN2" s="14"/>
      <c r="AO2" s="14"/>
      <c r="AP2" s="14"/>
      <c r="AQ2" s="15"/>
      <c r="AR2" s="14"/>
      <c r="AS2" s="14"/>
      <c r="AT2" s="14"/>
      <c r="AU2" s="14"/>
      <c r="AV2" s="14"/>
      <c r="AW2" s="14"/>
      <c r="AX2" s="14"/>
      <c r="AY2" s="14"/>
      <c r="AZ2" s="17"/>
      <c r="BA2" s="5"/>
      <c r="BB2" s="5"/>
      <c r="BC2" s="5"/>
      <c r="BD2" s="5"/>
      <c r="BE2" s="2"/>
      <c r="BF2" s="3"/>
      <c r="CA2" s="36"/>
      <c r="CB2" s="36"/>
      <c r="CC2" s="36"/>
      <c r="CD2" s="36"/>
    </row>
    <row r="3" spans="1:83" ht="1.35" customHeight="1">
      <c r="A3" s="16"/>
      <c r="B3" s="16"/>
      <c r="C3" s="16"/>
      <c r="D3" s="16"/>
      <c r="E3" s="16"/>
      <c r="F3" s="16"/>
      <c r="G3" s="16"/>
      <c r="H3" s="16"/>
      <c r="I3" s="16"/>
      <c r="J3" s="14"/>
      <c r="K3" s="14"/>
      <c r="L3" s="14"/>
      <c r="M3" s="14"/>
      <c r="N3" s="14"/>
      <c r="O3" s="14"/>
      <c r="P3" s="14"/>
      <c r="Q3" s="14"/>
      <c r="R3" s="14"/>
      <c r="S3" s="14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4"/>
      <c r="AK3" s="14"/>
      <c r="AL3" s="14"/>
      <c r="AM3" s="14"/>
      <c r="AN3" s="14"/>
      <c r="AO3" s="14"/>
      <c r="AP3" s="14"/>
      <c r="AQ3" s="15"/>
      <c r="AR3" s="14"/>
      <c r="AS3" s="14"/>
      <c r="AT3" s="14"/>
      <c r="AU3" s="14"/>
      <c r="AV3" s="5"/>
      <c r="AW3" s="5"/>
      <c r="AX3" s="5"/>
      <c r="AY3" s="5"/>
      <c r="AZ3" s="18"/>
      <c r="BA3" s="5"/>
      <c r="BB3" s="2"/>
      <c r="BC3" s="2"/>
      <c r="BD3" s="2"/>
      <c r="BE3" s="2"/>
      <c r="BF3" s="3"/>
      <c r="BG3" s="116"/>
      <c r="BH3" s="116"/>
      <c r="BI3" s="116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3"/>
      <c r="CB3" s="44"/>
      <c r="CC3" s="44"/>
      <c r="CD3" s="44"/>
      <c r="CE3" s="42"/>
    </row>
    <row r="4" spans="1:83" ht="17.399999999999999" customHeight="1">
      <c r="A4" s="142" t="s">
        <v>64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9"/>
      <c r="BH4" s="29"/>
      <c r="BI4" s="29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7"/>
      <c r="CB4" s="36"/>
      <c r="CC4" s="35"/>
      <c r="CD4" s="36"/>
    </row>
    <row r="5" spans="1:83" ht="17.850000000000001" customHeight="1">
      <c r="A5" s="122">
        <v>22</v>
      </c>
      <c r="B5" s="21">
        <v>0.85</v>
      </c>
      <c r="C5" s="39">
        <v>1</v>
      </c>
      <c r="D5" s="22"/>
      <c r="E5" s="22"/>
      <c r="F5" s="22"/>
      <c r="G5" s="22"/>
      <c r="H5" s="22"/>
      <c r="I5" s="22"/>
      <c r="J5" s="1"/>
      <c r="K5" s="1"/>
      <c r="L5" s="1"/>
      <c r="M5" s="1"/>
      <c r="N5" s="1"/>
      <c r="O5" s="1"/>
      <c r="P5" s="1"/>
      <c r="Q5" s="1"/>
      <c r="R5" s="1"/>
      <c r="S5" s="1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4"/>
      <c r="AK5" s="24"/>
      <c r="AL5" s="24"/>
      <c r="AM5" s="40">
        <v>0.6</v>
      </c>
      <c r="AN5" s="24"/>
      <c r="AO5" s="24"/>
      <c r="AP5" s="24"/>
      <c r="AQ5" s="25"/>
      <c r="AR5" s="24"/>
      <c r="AS5" s="24"/>
      <c r="AT5" s="24"/>
      <c r="AU5" s="24"/>
      <c r="AV5" s="20"/>
      <c r="AW5" s="20"/>
      <c r="AX5" s="20"/>
      <c r="AY5" s="20"/>
      <c r="AZ5" s="26"/>
      <c r="BA5" s="20"/>
      <c r="BB5" s="20"/>
      <c r="BC5" s="20"/>
      <c r="BD5" s="20"/>
      <c r="BE5" s="20"/>
      <c r="BF5" s="1"/>
      <c r="BG5" s="20"/>
      <c r="BH5" s="20"/>
      <c r="BI5" s="20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38"/>
      <c r="CB5" s="38"/>
      <c r="CC5" s="121">
        <v>33000</v>
      </c>
      <c r="CD5" s="38"/>
    </row>
    <row r="6" spans="1:83" s="135" customFormat="1" ht="26.4" customHeight="1">
      <c r="A6" s="168" t="s">
        <v>0</v>
      </c>
      <c r="B6" s="168" t="s">
        <v>1</v>
      </c>
      <c r="C6" s="168" t="s">
        <v>2</v>
      </c>
      <c r="D6" s="168" t="s">
        <v>3</v>
      </c>
      <c r="E6" s="168" t="s">
        <v>4</v>
      </c>
      <c r="F6" s="168" t="s">
        <v>69</v>
      </c>
      <c r="G6" s="171" t="s">
        <v>65</v>
      </c>
      <c r="H6" s="172"/>
      <c r="I6" s="168" t="s">
        <v>5</v>
      </c>
      <c r="J6" s="171" t="s">
        <v>6</v>
      </c>
      <c r="K6" s="181"/>
      <c r="L6" s="181"/>
      <c r="M6" s="181"/>
      <c r="N6" s="181"/>
      <c r="O6" s="181"/>
      <c r="P6" s="181"/>
      <c r="Q6" s="172"/>
      <c r="R6" s="145" t="s">
        <v>7</v>
      </c>
      <c r="S6" s="143"/>
      <c r="T6" s="183" t="s">
        <v>103</v>
      </c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5"/>
      <c r="AJ6" s="159" t="s">
        <v>101</v>
      </c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  <c r="BA6" s="160"/>
      <c r="BB6" s="160"/>
      <c r="BC6" s="160"/>
      <c r="BD6" s="160"/>
      <c r="BE6" s="161"/>
      <c r="BF6" s="154" t="s">
        <v>97</v>
      </c>
      <c r="BG6" s="153" t="s">
        <v>25</v>
      </c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1" t="s">
        <v>100</v>
      </c>
      <c r="BY6" s="151" t="s">
        <v>26</v>
      </c>
      <c r="BZ6" s="147" t="s">
        <v>27</v>
      </c>
      <c r="CA6" s="151" t="s">
        <v>46</v>
      </c>
      <c r="CB6" s="147" t="s">
        <v>28</v>
      </c>
      <c r="CC6" s="151" t="s">
        <v>29</v>
      </c>
      <c r="CD6" s="147" t="s">
        <v>30</v>
      </c>
      <c r="CE6" s="19"/>
    </row>
    <row r="7" spans="1:83" s="135" customFormat="1" ht="26.25" customHeight="1">
      <c r="A7" s="169"/>
      <c r="B7" s="169"/>
      <c r="C7" s="169"/>
      <c r="D7" s="169"/>
      <c r="E7" s="169"/>
      <c r="F7" s="169"/>
      <c r="G7" s="173"/>
      <c r="H7" s="174"/>
      <c r="I7" s="169"/>
      <c r="J7" s="173"/>
      <c r="K7" s="182"/>
      <c r="L7" s="182"/>
      <c r="M7" s="182"/>
      <c r="N7" s="182"/>
      <c r="O7" s="182"/>
      <c r="P7" s="182"/>
      <c r="Q7" s="174"/>
      <c r="R7" s="146"/>
      <c r="S7" s="144"/>
      <c r="T7" s="179" t="s">
        <v>56</v>
      </c>
      <c r="U7" s="186"/>
      <c r="V7" s="186"/>
      <c r="W7" s="180"/>
      <c r="X7" s="179" t="s">
        <v>104</v>
      </c>
      <c r="Y7" s="186"/>
      <c r="Z7" s="186"/>
      <c r="AA7" s="186"/>
      <c r="AB7" s="186"/>
      <c r="AC7" s="180"/>
      <c r="AD7" s="179" t="s">
        <v>93</v>
      </c>
      <c r="AE7" s="186"/>
      <c r="AF7" s="186"/>
      <c r="AG7" s="186"/>
      <c r="AH7" s="186"/>
      <c r="AI7" s="180"/>
      <c r="AJ7" s="162" t="s">
        <v>70</v>
      </c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4"/>
      <c r="AX7" s="46"/>
      <c r="AY7" s="167" t="s">
        <v>94</v>
      </c>
      <c r="AZ7" s="162" t="s">
        <v>82</v>
      </c>
      <c r="BA7" s="163"/>
      <c r="BB7" s="163"/>
      <c r="BC7" s="163"/>
      <c r="BD7" s="163"/>
      <c r="BE7" s="164"/>
      <c r="BF7" s="158"/>
      <c r="BG7" s="149" t="s">
        <v>99</v>
      </c>
      <c r="BH7" s="149" t="s">
        <v>31</v>
      </c>
      <c r="BI7" s="149" t="s">
        <v>32</v>
      </c>
      <c r="BJ7" s="149" t="s">
        <v>33</v>
      </c>
      <c r="BK7" s="149" t="s">
        <v>61</v>
      </c>
      <c r="BL7" s="149" t="s">
        <v>62</v>
      </c>
      <c r="BM7" s="149" t="s">
        <v>58</v>
      </c>
      <c r="BN7" s="149" t="s">
        <v>34</v>
      </c>
      <c r="BO7" s="149" t="s">
        <v>55</v>
      </c>
      <c r="BP7" s="149" t="s">
        <v>35</v>
      </c>
      <c r="BQ7" s="149" t="s">
        <v>36</v>
      </c>
      <c r="BR7" s="149" t="s">
        <v>87</v>
      </c>
      <c r="BS7" s="149" t="s">
        <v>37</v>
      </c>
      <c r="BT7" s="149" t="s">
        <v>38</v>
      </c>
      <c r="BU7" s="149" t="s">
        <v>105</v>
      </c>
      <c r="BV7" s="149" t="s">
        <v>52</v>
      </c>
      <c r="BW7" s="149" t="s">
        <v>39</v>
      </c>
      <c r="BX7" s="152"/>
      <c r="BY7" s="152"/>
      <c r="BZ7" s="148"/>
      <c r="CA7" s="152"/>
      <c r="CB7" s="148"/>
      <c r="CC7" s="152"/>
      <c r="CD7" s="148"/>
      <c r="CE7" s="19"/>
    </row>
    <row r="8" spans="1:83" s="135" customFormat="1" ht="39.6" customHeight="1">
      <c r="A8" s="169"/>
      <c r="B8" s="169"/>
      <c r="C8" s="169"/>
      <c r="D8" s="169"/>
      <c r="E8" s="169"/>
      <c r="F8" s="169"/>
      <c r="G8" s="168" t="s">
        <v>14</v>
      </c>
      <c r="H8" s="168" t="s">
        <v>15</v>
      </c>
      <c r="I8" s="169"/>
      <c r="J8" s="168" t="s">
        <v>10</v>
      </c>
      <c r="K8" s="168" t="s">
        <v>71</v>
      </c>
      <c r="L8" s="175" t="s">
        <v>95</v>
      </c>
      <c r="M8" s="177" t="s">
        <v>88</v>
      </c>
      <c r="N8" s="168" t="s">
        <v>72</v>
      </c>
      <c r="O8" s="177" t="s">
        <v>83</v>
      </c>
      <c r="P8" s="179" t="s">
        <v>84</v>
      </c>
      <c r="Q8" s="180"/>
      <c r="R8" s="168" t="s">
        <v>13</v>
      </c>
      <c r="S8" s="177" t="s">
        <v>81</v>
      </c>
      <c r="T8" s="179" t="s">
        <v>44</v>
      </c>
      <c r="U8" s="180"/>
      <c r="V8" s="179" t="s">
        <v>45</v>
      </c>
      <c r="W8" s="180"/>
      <c r="X8" s="179" t="s">
        <v>59</v>
      </c>
      <c r="Y8" s="180"/>
      <c r="Z8" s="179" t="s">
        <v>44</v>
      </c>
      <c r="AA8" s="180"/>
      <c r="AB8" s="179" t="s">
        <v>45</v>
      </c>
      <c r="AC8" s="180"/>
      <c r="AD8" s="179" t="s">
        <v>59</v>
      </c>
      <c r="AE8" s="180"/>
      <c r="AF8" s="179" t="s">
        <v>44</v>
      </c>
      <c r="AG8" s="180"/>
      <c r="AH8" s="179" t="s">
        <v>45</v>
      </c>
      <c r="AI8" s="180"/>
      <c r="AJ8" s="154" t="s">
        <v>98</v>
      </c>
      <c r="AK8" s="154" t="s">
        <v>102</v>
      </c>
      <c r="AL8" s="154" t="s">
        <v>8</v>
      </c>
      <c r="AM8" s="154" t="s">
        <v>89</v>
      </c>
      <c r="AN8" s="154" t="s">
        <v>90</v>
      </c>
      <c r="AO8" s="156" t="s">
        <v>73</v>
      </c>
      <c r="AP8" s="154" t="s">
        <v>74</v>
      </c>
      <c r="AQ8" s="179" t="s">
        <v>60</v>
      </c>
      <c r="AR8" s="180"/>
      <c r="AS8" s="159" t="s">
        <v>91</v>
      </c>
      <c r="AT8" s="161"/>
      <c r="AU8" s="159" t="s">
        <v>92</v>
      </c>
      <c r="AV8" s="161"/>
      <c r="AW8" s="159" t="s">
        <v>66</v>
      </c>
      <c r="AX8" s="161"/>
      <c r="AY8" s="167"/>
      <c r="AZ8" s="165" t="s">
        <v>75</v>
      </c>
      <c r="BA8" s="165" t="s">
        <v>76</v>
      </c>
      <c r="BB8" s="165" t="s">
        <v>77</v>
      </c>
      <c r="BC8" s="165" t="s">
        <v>78</v>
      </c>
      <c r="BD8" s="165" t="s">
        <v>79</v>
      </c>
      <c r="BE8" s="165" t="s">
        <v>80</v>
      </c>
      <c r="BF8" s="158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2"/>
      <c r="BY8" s="152"/>
      <c r="BZ8" s="148"/>
      <c r="CA8" s="152"/>
      <c r="CB8" s="148"/>
      <c r="CC8" s="152"/>
      <c r="CD8" s="148"/>
      <c r="CE8" s="19"/>
    </row>
    <row r="9" spans="1:83" s="135" customFormat="1" ht="35.4" customHeight="1">
      <c r="A9" s="170"/>
      <c r="B9" s="170" t="s">
        <v>9</v>
      </c>
      <c r="C9" s="170" t="s">
        <v>9</v>
      </c>
      <c r="D9" s="170"/>
      <c r="E9" s="170"/>
      <c r="F9" s="170"/>
      <c r="G9" s="170"/>
      <c r="H9" s="170"/>
      <c r="I9" s="170"/>
      <c r="J9" s="170"/>
      <c r="K9" s="170"/>
      <c r="L9" s="176"/>
      <c r="M9" s="178"/>
      <c r="N9" s="170"/>
      <c r="O9" s="178"/>
      <c r="P9" s="136" t="s">
        <v>93</v>
      </c>
      <c r="Q9" s="136" t="s">
        <v>96</v>
      </c>
      <c r="R9" s="170"/>
      <c r="S9" s="178"/>
      <c r="T9" s="137" t="s">
        <v>11</v>
      </c>
      <c r="U9" s="137" t="s">
        <v>12</v>
      </c>
      <c r="V9" s="137" t="s">
        <v>11</v>
      </c>
      <c r="W9" s="137" t="s">
        <v>12</v>
      </c>
      <c r="X9" s="137" t="s">
        <v>11</v>
      </c>
      <c r="Y9" s="137" t="s">
        <v>12</v>
      </c>
      <c r="Z9" s="137" t="s">
        <v>11</v>
      </c>
      <c r="AA9" s="137" t="s">
        <v>12</v>
      </c>
      <c r="AB9" s="137" t="s">
        <v>11</v>
      </c>
      <c r="AC9" s="137" t="s">
        <v>12</v>
      </c>
      <c r="AD9" s="137" t="s">
        <v>11</v>
      </c>
      <c r="AE9" s="137" t="s">
        <v>12</v>
      </c>
      <c r="AF9" s="137" t="s">
        <v>11</v>
      </c>
      <c r="AG9" s="137" t="s">
        <v>12</v>
      </c>
      <c r="AH9" s="137" t="s">
        <v>11</v>
      </c>
      <c r="AI9" s="137" t="s">
        <v>12</v>
      </c>
      <c r="AJ9" s="155"/>
      <c r="AK9" s="155"/>
      <c r="AL9" s="155"/>
      <c r="AM9" s="155"/>
      <c r="AN9" s="155"/>
      <c r="AO9" s="157"/>
      <c r="AP9" s="155"/>
      <c r="AQ9" s="48" t="s">
        <v>93</v>
      </c>
      <c r="AR9" s="48" t="s">
        <v>96</v>
      </c>
      <c r="AS9" s="47" t="s">
        <v>11</v>
      </c>
      <c r="AT9" s="47" t="s">
        <v>12</v>
      </c>
      <c r="AU9" s="47" t="s">
        <v>11</v>
      </c>
      <c r="AV9" s="47" t="s">
        <v>12</v>
      </c>
      <c r="AW9" s="47" t="s">
        <v>11</v>
      </c>
      <c r="AX9" s="47" t="s">
        <v>12</v>
      </c>
      <c r="AY9" s="167"/>
      <c r="AZ9" s="166"/>
      <c r="BA9" s="166"/>
      <c r="BB9" s="166"/>
      <c r="BC9" s="166"/>
      <c r="BD9" s="166"/>
      <c r="BE9" s="166"/>
      <c r="BF9" s="155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2"/>
      <c r="BY9" s="152"/>
      <c r="BZ9" s="148"/>
      <c r="CA9" s="152"/>
      <c r="CB9" s="148"/>
      <c r="CC9" s="152"/>
      <c r="CD9" s="148"/>
      <c r="CE9" s="19"/>
    </row>
    <row r="10" spans="1:83" s="124" customFormat="1" ht="46.2" customHeight="1">
      <c r="A10" s="49">
        <v>1</v>
      </c>
      <c r="B10" s="50" t="s">
        <v>16</v>
      </c>
      <c r="C10" s="51" t="s">
        <v>42</v>
      </c>
      <c r="D10" s="52">
        <v>16740000</v>
      </c>
      <c r="E10" s="53"/>
      <c r="F10" s="54">
        <v>6500000</v>
      </c>
      <c r="G10" s="55">
        <v>9030000</v>
      </c>
      <c r="H10" s="55"/>
      <c r="I10" s="56" t="s">
        <v>17</v>
      </c>
      <c r="J10" s="57">
        <v>20</v>
      </c>
      <c r="K10" s="57">
        <v>2</v>
      </c>
      <c r="L10" s="57">
        <v>0</v>
      </c>
      <c r="M10" s="57">
        <v>0</v>
      </c>
      <c r="N10" s="57"/>
      <c r="O10" s="57">
        <v>0</v>
      </c>
      <c r="P10" s="58">
        <v>0</v>
      </c>
      <c r="Q10" s="58"/>
      <c r="R10" s="58"/>
      <c r="S10" s="58">
        <v>0</v>
      </c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>
        <v>0</v>
      </c>
      <c r="AI10" s="59">
        <v>0</v>
      </c>
      <c r="AJ10" s="56">
        <f>ROUND(F10*(J10+K10+M10)/$A$5,-3)</f>
        <v>6500000</v>
      </c>
      <c r="AK10" s="60">
        <f>IF(I10="A",(D10-F10)*(J10+K10+M10)/$A$5,IF(I10="B",(D10-F10)*0.5*(J10+K10+M10)/$A$5,IF(I10="C",0)))</f>
        <v>10240000</v>
      </c>
      <c r="AL10" s="61"/>
      <c r="AM10" s="61"/>
      <c r="AN10" s="61"/>
      <c r="AO10" s="61">
        <f t="shared" ref="AO10:AO24" si="0">ROUND(G10*(L10)/$A$5,-3)</f>
        <v>0</v>
      </c>
      <c r="AP10" s="61">
        <f t="shared" ref="AP10:AP14" si="1">ROUND(G10*N10/$A$5*85%,-3)</f>
        <v>0</v>
      </c>
      <c r="AQ10" s="62">
        <f t="shared" ref="AQ10:AQ24" si="2">ROUND(P10*316000,-3)</f>
        <v>0</v>
      </c>
      <c r="AR10" s="53">
        <f t="shared" ref="AR10:AR14" si="3">ROUND(Q10*301000,-3)</f>
        <v>0</v>
      </c>
      <c r="AS10" s="53">
        <f t="shared" ref="AS10:AS24" si="4">ROUND(AD10*43000+AF10*43000+AH10*43000,-3)</f>
        <v>0</v>
      </c>
      <c r="AT10" s="53">
        <f t="shared" ref="AT10:AT24" si="5">ROUND(AE10*54000+AG10*54000+AI10*57000,-3)</f>
        <v>0</v>
      </c>
      <c r="AU10" s="63">
        <f>ROUND((AF10*39000+AH10*39000),-3)</f>
        <v>0</v>
      </c>
      <c r="AV10" s="63">
        <f>ROUND((AI10*52000+AG10*48600),-3)</f>
        <v>0</v>
      </c>
      <c r="AW10" s="63">
        <f>ROUND((T10*39000+AD10*39000),-3)</f>
        <v>0</v>
      </c>
      <c r="AX10" s="63">
        <f>ROUND((U10*48600+AE10*52000),-3)</f>
        <v>0</v>
      </c>
      <c r="AY10" s="63"/>
      <c r="AZ10" s="64"/>
      <c r="BA10" s="53"/>
      <c r="BB10" s="53"/>
      <c r="BC10" s="53"/>
      <c r="BD10" s="53"/>
      <c r="BE10" s="53"/>
      <c r="BF10" s="65">
        <f>SUM(AJ10:BD10)-BE10</f>
        <v>16740000</v>
      </c>
      <c r="BG10" s="6">
        <f>ROUND((BF10-BH10-BI10-BJ10)*0.5/100,-3)</f>
        <v>79000</v>
      </c>
      <c r="BH10" s="66">
        <v>722400</v>
      </c>
      <c r="BI10" s="66">
        <v>135450</v>
      </c>
      <c r="BJ10" s="66">
        <v>90300</v>
      </c>
      <c r="BK10" s="66"/>
      <c r="BL10" s="6"/>
      <c r="BM10" s="6"/>
      <c r="BN10" s="6"/>
      <c r="BO10" s="6"/>
      <c r="BP10" s="6"/>
      <c r="BQ10" s="6"/>
      <c r="BR10" s="66"/>
      <c r="BS10" s="6"/>
      <c r="BT10" s="6"/>
      <c r="BU10" s="6"/>
      <c r="BV10" s="6"/>
      <c r="BW10" s="9">
        <f>SUM(BG10:BV10)</f>
        <v>1027150</v>
      </c>
      <c r="BX10" s="6"/>
      <c r="BY10" s="6"/>
      <c r="BZ10" s="9">
        <f>(BF10-BW10+BX10+BY10)</f>
        <v>15712850</v>
      </c>
      <c r="CA10" s="6">
        <v>100000</v>
      </c>
      <c r="CB10" s="6">
        <f>J10</f>
        <v>20</v>
      </c>
      <c r="CC10" s="6">
        <f>CB10*$CC$5</f>
        <v>660000</v>
      </c>
      <c r="CD10" s="9">
        <f>BZ10+CC10+CA10</f>
        <v>16472850</v>
      </c>
      <c r="CE10" s="117"/>
    </row>
    <row r="11" spans="1:83" s="125" customFormat="1" ht="46.2" customHeight="1">
      <c r="A11" s="67">
        <v>2</v>
      </c>
      <c r="B11" s="68" t="s">
        <v>19</v>
      </c>
      <c r="C11" s="41" t="s">
        <v>85</v>
      </c>
      <c r="D11" s="70">
        <v>14700000</v>
      </c>
      <c r="E11" s="71">
        <v>525000</v>
      </c>
      <c r="F11" s="72">
        <v>6500000</v>
      </c>
      <c r="G11" s="71">
        <v>6830000</v>
      </c>
      <c r="H11" s="71">
        <v>525000</v>
      </c>
      <c r="I11" s="73" t="s">
        <v>17</v>
      </c>
      <c r="J11" s="75">
        <v>20</v>
      </c>
      <c r="K11" s="75">
        <v>2</v>
      </c>
      <c r="L11" s="74">
        <v>0</v>
      </c>
      <c r="M11" s="75">
        <v>0</v>
      </c>
      <c r="N11" s="75"/>
      <c r="O11" s="75">
        <v>0</v>
      </c>
      <c r="P11" s="76">
        <v>0</v>
      </c>
      <c r="Q11" s="76"/>
      <c r="R11" s="76"/>
      <c r="S11" s="76">
        <v>0</v>
      </c>
      <c r="T11" s="77">
        <v>0</v>
      </c>
      <c r="U11" s="77">
        <v>0</v>
      </c>
      <c r="V11" s="77"/>
      <c r="W11" s="77"/>
      <c r="X11" s="77">
        <v>0</v>
      </c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8">
        <v>0</v>
      </c>
      <c r="AE11" s="78">
        <v>0</v>
      </c>
      <c r="AF11" s="79">
        <v>155.5</v>
      </c>
      <c r="AG11" s="79">
        <v>0</v>
      </c>
      <c r="AH11" s="79">
        <v>19.600000000000009</v>
      </c>
      <c r="AI11" s="79">
        <v>65.13</v>
      </c>
      <c r="AJ11" s="73">
        <f t="shared" ref="AJ11:AJ21" si="6">ROUND(F11*(J11)/$A$5*$B$5,-3)</f>
        <v>5023000</v>
      </c>
      <c r="AK11" s="80">
        <f t="shared" ref="AK11:AK21" si="7">ROUND(IF(I11="A",(D11-F11-4500000)*(J11)/$A$5*$B$5,IF(I11="B",(D11-F11-4500000)*0.5*(J11)/$A$5*$B$5,IF(I11="C",0))),-3)</f>
        <v>2859000</v>
      </c>
      <c r="AL11" s="78">
        <f t="shared" ref="AL11:AL24" si="8">ROUND(G11*(K11)/$A$5,-3)</f>
        <v>621000</v>
      </c>
      <c r="AM11" s="78"/>
      <c r="AN11" s="78">
        <f>ROUND((D11)*M11/$A$5,-3)</f>
        <v>0</v>
      </c>
      <c r="AO11" s="78">
        <f>ROUND(G11*(L11)/$A$5,-3)</f>
        <v>0</v>
      </c>
      <c r="AP11" s="78">
        <f t="shared" si="1"/>
        <v>0</v>
      </c>
      <c r="AQ11" s="81">
        <f t="shared" si="2"/>
        <v>0</v>
      </c>
      <c r="AR11" s="82">
        <f t="shared" si="3"/>
        <v>0</v>
      </c>
      <c r="AS11" s="82">
        <f t="shared" si="4"/>
        <v>7529000</v>
      </c>
      <c r="AT11" s="82">
        <f>ROUND(AE11*54000+AG11*54000+AI11*57000,-3)</f>
        <v>3712000</v>
      </c>
      <c r="AU11" s="83">
        <f>ROUND((X11*39000+Z11*39000+AB11*39000),-3)</f>
        <v>0</v>
      </c>
      <c r="AV11" s="83">
        <f>ROUND((AC11*52000+AA11*48600+Y11*52000),-3)</f>
        <v>0</v>
      </c>
      <c r="AW11" s="83">
        <f>ROUND((T11*39000+V11*39000),-3)</f>
        <v>0</v>
      </c>
      <c r="AX11" s="83">
        <f>(U11*48600+AE11*52000)</f>
        <v>0</v>
      </c>
      <c r="AY11" s="84">
        <f t="shared" ref="AY11:AY24" si="9">ROUND((IF(I11="A",0,IF(I11="B",-(1330000)*50%,IF(I11="C",-(1330000)*100%))))*(J11)/$A$5,-3)</f>
        <v>0</v>
      </c>
      <c r="AZ11" s="78">
        <v>525000</v>
      </c>
      <c r="BA11" s="78"/>
      <c r="BB11" s="82"/>
      <c r="BC11" s="82"/>
      <c r="BD11" s="82"/>
      <c r="BE11" s="82"/>
      <c r="BF11" s="85">
        <f>SUM(AJ11:BD11)-BE11</f>
        <v>20269000</v>
      </c>
      <c r="BG11" s="7">
        <f t="shared" ref="BG11:BG24" si="10">ROUND((BF11-BH11-BI11-BJ11)*0.5/100,-3)</f>
        <v>97000</v>
      </c>
      <c r="BH11" s="86">
        <v>588400</v>
      </c>
      <c r="BI11" s="86">
        <v>110325</v>
      </c>
      <c r="BJ11" s="86">
        <v>73550</v>
      </c>
      <c r="BK11" s="7"/>
      <c r="BL11" s="7"/>
      <c r="BM11" s="7"/>
      <c r="BN11" s="7"/>
      <c r="BO11" s="7"/>
      <c r="BP11" s="7"/>
      <c r="BQ11" s="7"/>
      <c r="BR11" s="86"/>
      <c r="BS11" s="7"/>
      <c r="BT11" s="7"/>
      <c r="BU11" s="7">
        <v>500000</v>
      </c>
      <c r="BV11" s="7"/>
      <c r="BW11" s="87">
        <f t="shared" ref="BW11:BW22" si="11">SUM(BG11:BV11)</f>
        <v>1369275</v>
      </c>
      <c r="BX11" s="7"/>
      <c r="BY11" s="7"/>
      <c r="BZ11" s="87">
        <f t="shared" ref="BZ11:BZ24" si="12">(BF11-BW11+BX11+BY11)</f>
        <v>18899725</v>
      </c>
      <c r="CA11" s="7">
        <v>100000</v>
      </c>
      <c r="CB11" s="7">
        <f t="shared" ref="CB11:CB24" si="13">J11</f>
        <v>20</v>
      </c>
      <c r="CC11" s="7">
        <f t="shared" ref="CC11:CC24" si="14">CB11*$CC$5</f>
        <v>660000</v>
      </c>
      <c r="CD11" s="87">
        <f t="shared" ref="CD11:CD24" si="15">BZ11+CC11+CA11</f>
        <v>19659725</v>
      </c>
      <c r="CE11" s="118"/>
    </row>
    <row r="12" spans="1:83" s="125" customFormat="1" ht="46.2" customHeight="1">
      <c r="A12" s="67">
        <v>3</v>
      </c>
      <c r="B12" s="68" t="s">
        <v>21</v>
      </c>
      <c r="C12" s="67" t="s">
        <v>20</v>
      </c>
      <c r="D12" s="70">
        <v>14700000</v>
      </c>
      <c r="E12" s="71"/>
      <c r="F12" s="72">
        <v>6500000</v>
      </c>
      <c r="G12" s="71">
        <v>6830000</v>
      </c>
      <c r="H12" s="71"/>
      <c r="I12" s="73" t="s">
        <v>17</v>
      </c>
      <c r="J12" s="75">
        <v>20</v>
      </c>
      <c r="K12" s="75">
        <v>2</v>
      </c>
      <c r="L12" s="75">
        <v>0</v>
      </c>
      <c r="M12" s="75">
        <v>0</v>
      </c>
      <c r="N12" s="75"/>
      <c r="O12" s="75">
        <v>0</v>
      </c>
      <c r="P12" s="88">
        <v>1.5</v>
      </c>
      <c r="Q12" s="76"/>
      <c r="R12" s="76"/>
      <c r="S12" s="76">
        <v>0</v>
      </c>
      <c r="T12" s="78">
        <v>0</v>
      </c>
      <c r="U12" s="78">
        <v>0</v>
      </c>
      <c r="V12" s="78"/>
      <c r="W12" s="78"/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7">
        <v>0</v>
      </c>
      <c r="AE12" s="77">
        <v>0</v>
      </c>
      <c r="AF12" s="79">
        <v>142.53333333333333</v>
      </c>
      <c r="AG12" s="79">
        <v>0</v>
      </c>
      <c r="AH12" s="79">
        <v>35.800000000000004</v>
      </c>
      <c r="AI12" s="79">
        <v>0</v>
      </c>
      <c r="AJ12" s="73">
        <f t="shared" si="6"/>
        <v>5023000</v>
      </c>
      <c r="AK12" s="80">
        <f t="shared" si="7"/>
        <v>2859000</v>
      </c>
      <c r="AL12" s="78">
        <f t="shared" si="8"/>
        <v>621000</v>
      </c>
      <c r="AM12" s="78"/>
      <c r="AN12" s="78">
        <f>ROUND((D12)*M12/$A$5,-3)</f>
        <v>0</v>
      </c>
      <c r="AO12" s="78">
        <f t="shared" si="0"/>
        <v>0</v>
      </c>
      <c r="AP12" s="78">
        <f t="shared" si="1"/>
        <v>0</v>
      </c>
      <c r="AQ12" s="81">
        <f>ROUND(P12*316000,-3)</f>
        <v>474000</v>
      </c>
      <c r="AR12" s="82">
        <f t="shared" si="3"/>
        <v>0</v>
      </c>
      <c r="AS12" s="82">
        <f t="shared" si="4"/>
        <v>7668000</v>
      </c>
      <c r="AT12" s="82">
        <f t="shared" si="5"/>
        <v>0</v>
      </c>
      <c r="AU12" s="83">
        <f>ROUND((X12*39000+Z12*39000+AB12*39000),-3)</f>
        <v>0</v>
      </c>
      <c r="AV12" s="83">
        <f>ROUND((AC12*52000+AA12*48600+Y12*52000),-3)</f>
        <v>0</v>
      </c>
      <c r="AW12" s="83">
        <f>ROUND((T12*39000+V12*39000),-3)</f>
        <v>0</v>
      </c>
      <c r="AX12" s="83">
        <f>(U12*48600+AE12*52000)</f>
        <v>0</v>
      </c>
      <c r="AY12" s="84">
        <f t="shared" si="9"/>
        <v>0</v>
      </c>
      <c r="AZ12" s="89"/>
      <c r="BA12" s="78"/>
      <c r="BB12" s="82"/>
      <c r="BC12" s="82"/>
      <c r="BD12" s="82"/>
      <c r="BE12" s="82"/>
      <c r="BF12" s="85">
        <f t="shared" ref="BF12:BF24" si="16">SUM(AJ12:BD12)-BE12</f>
        <v>16645000</v>
      </c>
      <c r="BG12" s="7">
        <f t="shared" si="10"/>
        <v>80000</v>
      </c>
      <c r="BH12" s="86">
        <v>546400</v>
      </c>
      <c r="BI12" s="86">
        <v>102450</v>
      </c>
      <c r="BJ12" s="86">
        <v>68300</v>
      </c>
      <c r="BK12" s="7"/>
      <c r="BL12" s="7"/>
      <c r="BM12" s="7"/>
      <c r="BN12" s="7"/>
      <c r="BO12" s="7"/>
      <c r="BP12" s="7"/>
      <c r="BQ12" s="7"/>
      <c r="BR12" s="86"/>
      <c r="BS12" s="7"/>
      <c r="BT12" s="7"/>
      <c r="BU12" s="7"/>
      <c r="BV12" s="7"/>
      <c r="BW12" s="87">
        <f t="shared" si="11"/>
        <v>797150</v>
      </c>
      <c r="BX12" s="86">
        <v>80000</v>
      </c>
      <c r="BY12" s="7"/>
      <c r="BZ12" s="87">
        <f t="shared" si="12"/>
        <v>15927850</v>
      </c>
      <c r="CA12" s="7">
        <v>100000</v>
      </c>
      <c r="CB12" s="7">
        <f t="shared" si="13"/>
        <v>20</v>
      </c>
      <c r="CC12" s="7">
        <f t="shared" si="14"/>
        <v>660000</v>
      </c>
      <c r="CD12" s="87">
        <f t="shared" si="15"/>
        <v>16687850</v>
      </c>
      <c r="CE12" s="118"/>
    </row>
    <row r="13" spans="1:83" s="125" customFormat="1" ht="46.2" customHeight="1">
      <c r="A13" s="67">
        <v>4</v>
      </c>
      <c r="B13" s="68" t="s">
        <v>22</v>
      </c>
      <c r="C13" s="69" t="s">
        <v>86</v>
      </c>
      <c r="D13" s="70">
        <v>14200000</v>
      </c>
      <c r="E13" s="71">
        <v>525000</v>
      </c>
      <c r="F13" s="72">
        <v>6500000</v>
      </c>
      <c r="G13" s="71">
        <v>6490000</v>
      </c>
      <c r="H13" s="71">
        <v>525000</v>
      </c>
      <c r="I13" s="73" t="s">
        <v>17</v>
      </c>
      <c r="J13" s="75">
        <v>20</v>
      </c>
      <c r="K13" s="75">
        <v>2</v>
      </c>
      <c r="L13" s="75">
        <v>0</v>
      </c>
      <c r="M13" s="75">
        <v>0</v>
      </c>
      <c r="N13" s="75"/>
      <c r="O13" s="75">
        <v>0</v>
      </c>
      <c r="P13" s="88">
        <v>0</v>
      </c>
      <c r="Q13" s="76"/>
      <c r="R13" s="76"/>
      <c r="S13" s="76">
        <v>0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  <c r="Z13" s="77">
        <v>0</v>
      </c>
      <c r="AA13" s="77">
        <v>0</v>
      </c>
      <c r="AB13" s="77">
        <v>0</v>
      </c>
      <c r="AC13" s="77">
        <v>0</v>
      </c>
      <c r="AD13" s="77">
        <v>42</v>
      </c>
      <c r="AE13" s="77">
        <v>0</v>
      </c>
      <c r="AF13" s="79">
        <v>20.233333333333334</v>
      </c>
      <c r="AG13" s="79">
        <v>0</v>
      </c>
      <c r="AH13" s="79">
        <v>53</v>
      </c>
      <c r="AI13" s="79">
        <v>0</v>
      </c>
      <c r="AJ13" s="73">
        <f t="shared" si="6"/>
        <v>5023000</v>
      </c>
      <c r="AK13" s="80">
        <f t="shared" si="7"/>
        <v>2473000</v>
      </c>
      <c r="AL13" s="78">
        <f t="shared" si="8"/>
        <v>590000</v>
      </c>
      <c r="AM13" s="78"/>
      <c r="AN13" s="78">
        <f>ROUND((D13)*M13/$A$5,-3)</f>
        <v>0</v>
      </c>
      <c r="AO13" s="78">
        <f>ROUND(G13*(L13)/$A$5,-3)</f>
        <v>0</v>
      </c>
      <c r="AP13" s="78">
        <f t="shared" si="1"/>
        <v>0</v>
      </c>
      <c r="AQ13" s="81">
        <f t="shared" si="2"/>
        <v>0</v>
      </c>
      <c r="AR13" s="82">
        <f t="shared" si="3"/>
        <v>0</v>
      </c>
      <c r="AS13" s="82">
        <f t="shared" si="4"/>
        <v>4955000</v>
      </c>
      <c r="AT13" s="82">
        <f t="shared" si="5"/>
        <v>0</v>
      </c>
      <c r="AU13" s="83">
        <f>ROUND((X13*39000+Z13*39000+AB13*39000),-3)</f>
        <v>0</v>
      </c>
      <c r="AV13" s="83">
        <f>ROUND((AC13*52000+AA13*48600+Y13*52000),-3)</f>
        <v>0</v>
      </c>
      <c r="AW13" s="83">
        <f>ROUND((T13*39000+V13*39000),-3)</f>
        <v>0</v>
      </c>
      <c r="AX13" s="83">
        <f>(U13*48600+AE13*52000)</f>
        <v>0</v>
      </c>
      <c r="AY13" s="84">
        <f t="shared" si="9"/>
        <v>0</v>
      </c>
      <c r="AZ13" s="78">
        <v>525000</v>
      </c>
      <c r="BA13" s="78"/>
      <c r="BB13" s="82"/>
      <c r="BC13" s="82"/>
      <c r="BD13" s="82"/>
      <c r="BE13" s="82"/>
      <c r="BF13" s="85">
        <f>SUM(AJ13:BD13)-BE13</f>
        <v>13566000</v>
      </c>
      <c r="BG13" s="7">
        <f t="shared" si="10"/>
        <v>64000</v>
      </c>
      <c r="BH13" s="86">
        <v>561200</v>
      </c>
      <c r="BI13" s="86">
        <v>105225</v>
      </c>
      <c r="BJ13" s="86">
        <v>70150</v>
      </c>
      <c r="BK13" s="86"/>
      <c r="BL13" s="7"/>
      <c r="BM13" s="7"/>
      <c r="BN13" s="7"/>
      <c r="BO13" s="7"/>
      <c r="BP13" s="7"/>
      <c r="BQ13" s="7"/>
      <c r="BR13" s="86"/>
      <c r="BS13" s="7"/>
      <c r="BT13" s="7"/>
      <c r="BU13" s="7"/>
      <c r="BV13" s="7"/>
      <c r="BW13" s="87">
        <f t="shared" si="11"/>
        <v>800575</v>
      </c>
      <c r="BX13" s="7"/>
      <c r="BY13" s="7"/>
      <c r="BZ13" s="87">
        <f>(BF13-BW13+BX13+BY13)</f>
        <v>12765425</v>
      </c>
      <c r="CA13" s="7">
        <v>100000</v>
      </c>
      <c r="CB13" s="7">
        <v>20</v>
      </c>
      <c r="CC13" s="7">
        <f t="shared" si="14"/>
        <v>660000</v>
      </c>
      <c r="CD13" s="87">
        <f t="shared" si="15"/>
        <v>13525425</v>
      </c>
      <c r="CE13" s="118"/>
    </row>
    <row r="14" spans="1:83" s="126" customFormat="1" ht="46.2" customHeight="1">
      <c r="A14" s="67">
        <v>5</v>
      </c>
      <c r="B14" s="68" t="s">
        <v>40</v>
      </c>
      <c r="C14" s="67" t="s">
        <v>20</v>
      </c>
      <c r="D14" s="70">
        <v>14700000</v>
      </c>
      <c r="E14" s="71"/>
      <c r="F14" s="72">
        <v>6500000</v>
      </c>
      <c r="G14" s="71">
        <v>6830000</v>
      </c>
      <c r="H14" s="71"/>
      <c r="I14" s="73" t="s">
        <v>17</v>
      </c>
      <c r="J14" s="75">
        <v>20</v>
      </c>
      <c r="K14" s="75">
        <v>2</v>
      </c>
      <c r="L14" s="75">
        <v>0</v>
      </c>
      <c r="M14" s="75">
        <v>0</v>
      </c>
      <c r="N14" s="75"/>
      <c r="O14" s="75">
        <v>0</v>
      </c>
      <c r="P14" s="88">
        <v>0</v>
      </c>
      <c r="Q14" s="76"/>
      <c r="R14" s="76"/>
      <c r="S14" s="76">
        <v>0</v>
      </c>
      <c r="T14" s="74">
        <v>0</v>
      </c>
      <c r="U14" s="74">
        <v>0</v>
      </c>
      <c r="V14" s="74"/>
      <c r="W14" s="74"/>
      <c r="X14" s="74">
        <v>0</v>
      </c>
      <c r="Y14" s="74">
        <v>0</v>
      </c>
      <c r="Z14" s="74">
        <v>0</v>
      </c>
      <c r="AA14" s="74">
        <v>0</v>
      </c>
      <c r="AB14" s="74">
        <v>0</v>
      </c>
      <c r="AC14" s="74">
        <v>0</v>
      </c>
      <c r="AD14" s="74">
        <v>0</v>
      </c>
      <c r="AE14" s="74">
        <v>0</v>
      </c>
      <c r="AF14" s="90">
        <v>42.599999999999994</v>
      </c>
      <c r="AG14" s="90">
        <v>0</v>
      </c>
      <c r="AH14" s="90">
        <v>86.600000000000009</v>
      </c>
      <c r="AI14" s="90">
        <v>0</v>
      </c>
      <c r="AJ14" s="73">
        <f t="shared" si="6"/>
        <v>5023000</v>
      </c>
      <c r="AK14" s="80">
        <f t="shared" si="7"/>
        <v>2859000</v>
      </c>
      <c r="AL14" s="78">
        <f t="shared" si="8"/>
        <v>621000</v>
      </c>
      <c r="AM14" s="78"/>
      <c r="AN14" s="78">
        <f>ROUND((D14)*M14/$A$5,-3)</f>
        <v>0</v>
      </c>
      <c r="AO14" s="78">
        <f t="shared" si="0"/>
        <v>0</v>
      </c>
      <c r="AP14" s="78">
        <f t="shared" si="1"/>
        <v>0</v>
      </c>
      <c r="AQ14" s="81">
        <f t="shared" si="2"/>
        <v>0</v>
      </c>
      <c r="AR14" s="82">
        <f t="shared" si="3"/>
        <v>0</v>
      </c>
      <c r="AS14" s="82">
        <f>ROUND(AD14*43000+AF14*43000+AH14*43000,-3)</f>
        <v>5556000</v>
      </c>
      <c r="AT14" s="82">
        <f t="shared" si="5"/>
        <v>0</v>
      </c>
      <c r="AU14" s="83">
        <f>ROUND((X14*39000+Z14*39000+AB14*39000),-3)</f>
        <v>0</v>
      </c>
      <c r="AV14" s="83">
        <f>ROUND((AC14*52000+AA14*48600+Y14*52000),-3)</f>
        <v>0</v>
      </c>
      <c r="AW14" s="83">
        <f>ROUND((T14*39000+V14*39000),-3)</f>
        <v>0</v>
      </c>
      <c r="AX14" s="83">
        <f>(U14*48600+AE14*52000)</f>
        <v>0</v>
      </c>
      <c r="AY14" s="84">
        <f t="shared" si="9"/>
        <v>0</v>
      </c>
      <c r="AZ14" s="91"/>
      <c r="BA14" s="78">
        <f>E14*(J14+K14)/$A$5</f>
        <v>0</v>
      </c>
      <c r="BB14" s="78"/>
      <c r="BC14" s="78"/>
      <c r="BD14" s="78"/>
      <c r="BE14" s="78"/>
      <c r="BF14" s="85">
        <f>SUM(AJ14:BD14)-BE14</f>
        <v>14059000</v>
      </c>
      <c r="BG14" s="7">
        <f t="shared" si="10"/>
        <v>67000</v>
      </c>
      <c r="BH14" s="86">
        <v>546400</v>
      </c>
      <c r="BI14" s="86">
        <v>102450</v>
      </c>
      <c r="BJ14" s="86">
        <v>68300</v>
      </c>
      <c r="BK14" s="86"/>
      <c r="BL14" s="7"/>
      <c r="BM14" s="7"/>
      <c r="BN14" s="7"/>
      <c r="BO14" s="7"/>
      <c r="BP14" s="7"/>
      <c r="BQ14" s="7"/>
      <c r="BR14" s="86"/>
      <c r="BS14" s="86">
        <v>2022000</v>
      </c>
      <c r="BT14" s="7"/>
      <c r="BU14" s="7"/>
      <c r="BV14" s="7"/>
      <c r="BW14" s="87">
        <f t="shared" si="11"/>
        <v>2806150</v>
      </c>
      <c r="BX14" s="7"/>
      <c r="BY14" s="7"/>
      <c r="BZ14" s="87">
        <f t="shared" si="12"/>
        <v>11252850</v>
      </c>
      <c r="CA14" s="7">
        <v>100000</v>
      </c>
      <c r="CB14" s="7">
        <f t="shared" si="13"/>
        <v>20</v>
      </c>
      <c r="CC14" s="7">
        <f t="shared" si="14"/>
        <v>660000</v>
      </c>
      <c r="CD14" s="87">
        <f t="shared" si="15"/>
        <v>12012850</v>
      </c>
      <c r="CE14" s="119"/>
    </row>
    <row r="15" spans="1:83" s="126" customFormat="1" ht="46.2" customHeight="1">
      <c r="A15" s="67">
        <v>6</v>
      </c>
      <c r="B15" s="68" t="s">
        <v>41</v>
      </c>
      <c r="C15" s="67" t="s">
        <v>20</v>
      </c>
      <c r="D15" s="70">
        <v>14700000</v>
      </c>
      <c r="E15" s="71"/>
      <c r="F15" s="72">
        <v>6500000</v>
      </c>
      <c r="G15" s="71">
        <v>6830000</v>
      </c>
      <c r="H15" s="71"/>
      <c r="I15" s="73" t="s">
        <v>17</v>
      </c>
      <c r="J15" s="75">
        <v>20</v>
      </c>
      <c r="K15" s="75">
        <v>2</v>
      </c>
      <c r="L15" s="75">
        <v>0</v>
      </c>
      <c r="M15" s="75">
        <v>0</v>
      </c>
      <c r="N15" s="75"/>
      <c r="O15" s="75">
        <v>0</v>
      </c>
      <c r="P15" s="88">
        <v>0</v>
      </c>
      <c r="Q15" s="76"/>
      <c r="R15" s="76"/>
      <c r="S15" s="76">
        <v>0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>
        <v>0</v>
      </c>
      <c r="AE15" s="74">
        <v>0</v>
      </c>
      <c r="AF15" s="90">
        <v>155.06666666666666</v>
      </c>
      <c r="AG15" s="90">
        <v>0</v>
      </c>
      <c r="AH15" s="90">
        <v>36</v>
      </c>
      <c r="AI15" s="90">
        <v>0</v>
      </c>
      <c r="AJ15" s="73">
        <f t="shared" si="6"/>
        <v>5023000</v>
      </c>
      <c r="AK15" s="80">
        <f t="shared" si="7"/>
        <v>2859000</v>
      </c>
      <c r="AL15" s="78">
        <f t="shared" si="8"/>
        <v>621000</v>
      </c>
      <c r="AM15" s="78"/>
      <c r="AN15" s="78"/>
      <c r="AO15" s="78">
        <f t="shared" si="0"/>
        <v>0</v>
      </c>
      <c r="AP15" s="78"/>
      <c r="AQ15" s="81">
        <f t="shared" si="2"/>
        <v>0</v>
      </c>
      <c r="AR15" s="82"/>
      <c r="AS15" s="82">
        <f t="shared" si="4"/>
        <v>8216000</v>
      </c>
      <c r="AT15" s="82">
        <f t="shared" si="5"/>
        <v>0</v>
      </c>
      <c r="AU15" s="83"/>
      <c r="AV15" s="83"/>
      <c r="AW15" s="83"/>
      <c r="AX15" s="83"/>
      <c r="AY15" s="84">
        <f t="shared" si="9"/>
        <v>0</v>
      </c>
      <c r="AZ15" s="91"/>
      <c r="BA15" s="78"/>
      <c r="BB15" s="78"/>
      <c r="BC15" s="78"/>
      <c r="BD15" s="78"/>
      <c r="BE15" s="78"/>
      <c r="BF15" s="85">
        <f t="shared" ref="BF15:BF17" si="17">SUM(AJ15:BD15)-BE15</f>
        <v>16719000</v>
      </c>
      <c r="BG15" s="7">
        <f t="shared" si="10"/>
        <v>80000</v>
      </c>
      <c r="BH15" s="86">
        <v>546400</v>
      </c>
      <c r="BI15" s="86">
        <v>102450</v>
      </c>
      <c r="BJ15" s="86">
        <v>68300</v>
      </c>
      <c r="BK15" s="7"/>
      <c r="BL15" s="7"/>
      <c r="BM15" s="7"/>
      <c r="BN15" s="7"/>
      <c r="BO15" s="7"/>
      <c r="BP15" s="7"/>
      <c r="BQ15" s="7"/>
      <c r="BR15" s="86"/>
      <c r="BS15" s="7"/>
      <c r="BT15" s="7"/>
      <c r="BU15" s="7">
        <v>800000</v>
      </c>
      <c r="BV15" s="7"/>
      <c r="BW15" s="87">
        <f t="shared" si="11"/>
        <v>1597150</v>
      </c>
      <c r="BX15" s="7"/>
      <c r="BY15" s="7"/>
      <c r="BZ15" s="87">
        <f t="shared" si="12"/>
        <v>15121850</v>
      </c>
      <c r="CA15" s="7">
        <v>100000</v>
      </c>
      <c r="CB15" s="7">
        <f t="shared" si="13"/>
        <v>20</v>
      </c>
      <c r="CC15" s="7">
        <f t="shared" si="14"/>
        <v>660000</v>
      </c>
      <c r="CD15" s="87">
        <f t="shared" si="15"/>
        <v>15881850</v>
      </c>
      <c r="CE15" s="119"/>
    </row>
    <row r="16" spans="1:83" s="126" customFormat="1" ht="46.2" customHeight="1">
      <c r="A16" s="67">
        <v>7</v>
      </c>
      <c r="B16" s="68" t="s">
        <v>18</v>
      </c>
      <c r="C16" s="69" t="s">
        <v>47</v>
      </c>
      <c r="D16" s="70">
        <v>14200000</v>
      </c>
      <c r="E16" s="71">
        <v>420000</v>
      </c>
      <c r="F16" s="72">
        <v>6500000</v>
      </c>
      <c r="G16" s="71">
        <v>6490000</v>
      </c>
      <c r="H16" s="71">
        <v>420000</v>
      </c>
      <c r="I16" s="73" t="s">
        <v>17</v>
      </c>
      <c r="J16" s="75">
        <v>20</v>
      </c>
      <c r="K16" s="75">
        <v>2</v>
      </c>
      <c r="L16" s="75">
        <v>0</v>
      </c>
      <c r="M16" s="75">
        <v>0</v>
      </c>
      <c r="N16" s="75"/>
      <c r="O16" s="75">
        <v>0</v>
      </c>
      <c r="P16" s="88">
        <v>34</v>
      </c>
      <c r="Q16" s="88"/>
      <c r="R16" s="88"/>
      <c r="S16" s="76">
        <v>0</v>
      </c>
      <c r="T16" s="74">
        <v>0</v>
      </c>
      <c r="U16" s="74">
        <v>0</v>
      </c>
      <c r="V16" s="74"/>
      <c r="W16" s="74"/>
      <c r="X16" s="74">
        <v>0</v>
      </c>
      <c r="Y16" s="74">
        <v>0</v>
      </c>
      <c r="Z16" s="74">
        <v>0</v>
      </c>
      <c r="AA16" s="74">
        <v>0</v>
      </c>
      <c r="AB16" s="74">
        <v>0</v>
      </c>
      <c r="AC16" s="74">
        <v>0</v>
      </c>
      <c r="AD16" s="75">
        <v>0</v>
      </c>
      <c r="AE16" s="75">
        <v>0</v>
      </c>
      <c r="AF16" s="90">
        <v>71.666666666666686</v>
      </c>
      <c r="AG16" s="90">
        <v>0</v>
      </c>
      <c r="AH16" s="90">
        <v>52</v>
      </c>
      <c r="AI16" s="90">
        <v>0</v>
      </c>
      <c r="AJ16" s="73">
        <f t="shared" si="6"/>
        <v>5023000</v>
      </c>
      <c r="AK16" s="80">
        <f t="shared" si="7"/>
        <v>2473000</v>
      </c>
      <c r="AL16" s="78">
        <f t="shared" si="8"/>
        <v>590000</v>
      </c>
      <c r="AM16" s="78"/>
      <c r="AN16" s="78">
        <f t="shared" ref="AN16:AN24" si="18">ROUND((D16)*M16/$A$5,-3)</f>
        <v>0</v>
      </c>
      <c r="AO16" s="78">
        <f t="shared" si="0"/>
        <v>0</v>
      </c>
      <c r="AP16" s="78">
        <f t="shared" ref="AP16:AP24" si="19">ROUND(G16*N16/$A$5*85%,-3)</f>
        <v>0</v>
      </c>
      <c r="AQ16" s="81">
        <f t="shared" si="2"/>
        <v>10744000</v>
      </c>
      <c r="AR16" s="82">
        <f t="shared" ref="AR16:AR24" si="20">ROUND(Q16*301000,-3)</f>
        <v>0</v>
      </c>
      <c r="AS16" s="82">
        <f t="shared" si="4"/>
        <v>5318000</v>
      </c>
      <c r="AT16" s="82">
        <f t="shared" si="5"/>
        <v>0</v>
      </c>
      <c r="AU16" s="83">
        <f t="shared" ref="AU16:AU24" si="21">ROUND((X16*39000+Z16*39000+AB16*39000),-3)</f>
        <v>0</v>
      </c>
      <c r="AV16" s="83">
        <f t="shared" ref="AV16:AV24" si="22">ROUND((AC16*52000+AA16*48600+Y16*52000),-3)</f>
        <v>0</v>
      </c>
      <c r="AW16" s="83">
        <f t="shared" ref="AW16:AW24" si="23">ROUND((T16*39000+V16*39000),-3)</f>
        <v>0</v>
      </c>
      <c r="AX16" s="83">
        <f t="shared" ref="AX16:AX24" si="24">(U16*48600+AE16*52000)</f>
        <v>0</v>
      </c>
      <c r="AY16" s="84">
        <f t="shared" si="9"/>
        <v>0</v>
      </c>
      <c r="AZ16" s="70">
        <v>420000</v>
      </c>
      <c r="BA16" s="70"/>
      <c r="BB16" s="78"/>
      <c r="BC16" s="78"/>
      <c r="BD16" s="78"/>
      <c r="BE16" s="92"/>
      <c r="BF16" s="85">
        <f t="shared" si="17"/>
        <v>24568000</v>
      </c>
      <c r="BG16" s="7">
        <f t="shared" si="10"/>
        <v>119000</v>
      </c>
      <c r="BH16" s="86">
        <v>552800</v>
      </c>
      <c r="BI16" s="86">
        <v>103650</v>
      </c>
      <c r="BJ16" s="86">
        <v>69100</v>
      </c>
      <c r="BK16" s="86"/>
      <c r="BL16" s="7"/>
      <c r="BM16" s="7"/>
      <c r="BN16" s="7"/>
      <c r="BO16" s="7"/>
      <c r="BP16" s="7"/>
      <c r="BQ16" s="7"/>
      <c r="BR16" s="86"/>
      <c r="BS16" s="7"/>
      <c r="BT16" s="7"/>
      <c r="BU16" s="7"/>
      <c r="BV16" s="7"/>
      <c r="BW16" s="87">
        <f t="shared" si="11"/>
        <v>844550</v>
      </c>
      <c r="BX16" s="7"/>
      <c r="BY16" s="7"/>
      <c r="BZ16" s="87">
        <f t="shared" si="12"/>
        <v>23723450</v>
      </c>
      <c r="CA16" s="7">
        <v>100000</v>
      </c>
      <c r="CB16" s="7">
        <f t="shared" si="13"/>
        <v>20</v>
      </c>
      <c r="CC16" s="7">
        <f t="shared" si="14"/>
        <v>660000</v>
      </c>
      <c r="CD16" s="87">
        <f t="shared" si="15"/>
        <v>24483450</v>
      </c>
      <c r="CE16" s="119"/>
    </row>
    <row r="17" spans="1:83" s="126" customFormat="1" ht="46.2" customHeight="1">
      <c r="A17" s="67">
        <v>8</v>
      </c>
      <c r="B17" s="93" t="s">
        <v>48</v>
      </c>
      <c r="C17" s="67" t="s">
        <v>20</v>
      </c>
      <c r="D17" s="70">
        <v>13690000</v>
      </c>
      <c r="E17" s="75"/>
      <c r="F17" s="72">
        <v>6500000</v>
      </c>
      <c r="G17" s="71">
        <v>6180000</v>
      </c>
      <c r="H17" s="71"/>
      <c r="I17" s="73" t="s">
        <v>17</v>
      </c>
      <c r="J17" s="75">
        <v>20</v>
      </c>
      <c r="K17" s="75">
        <v>2</v>
      </c>
      <c r="L17" s="75">
        <v>0</v>
      </c>
      <c r="M17" s="75">
        <v>0</v>
      </c>
      <c r="N17" s="75"/>
      <c r="O17" s="75">
        <v>0</v>
      </c>
      <c r="P17" s="88">
        <v>0</v>
      </c>
      <c r="Q17" s="88"/>
      <c r="R17" s="88"/>
      <c r="S17" s="76">
        <v>0</v>
      </c>
      <c r="T17" s="74">
        <v>0</v>
      </c>
      <c r="U17" s="74">
        <v>0</v>
      </c>
      <c r="V17" s="74">
        <v>0</v>
      </c>
      <c r="W17" s="74">
        <v>0</v>
      </c>
      <c r="X17" s="74">
        <v>0</v>
      </c>
      <c r="Y17" s="74">
        <v>0</v>
      </c>
      <c r="Z17" s="74">
        <v>0</v>
      </c>
      <c r="AA17" s="74">
        <v>0</v>
      </c>
      <c r="AB17" s="74">
        <v>0</v>
      </c>
      <c r="AC17" s="74">
        <v>0</v>
      </c>
      <c r="AD17" s="75">
        <v>0</v>
      </c>
      <c r="AE17" s="75">
        <v>0</v>
      </c>
      <c r="AF17" s="90">
        <v>56.800000000000011</v>
      </c>
      <c r="AG17" s="90">
        <v>0</v>
      </c>
      <c r="AH17" s="90">
        <v>38</v>
      </c>
      <c r="AI17" s="90">
        <v>0</v>
      </c>
      <c r="AJ17" s="73">
        <f t="shared" si="6"/>
        <v>5023000</v>
      </c>
      <c r="AK17" s="80">
        <f t="shared" si="7"/>
        <v>2079000</v>
      </c>
      <c r="AL17" s="78">
        <f t="shared" si="8"/>
        <v>562000</v>
      </c>
      <c r="AM17" s="78"/>
      <c r="AN17" s="78">
        <f t="shared" si="18"/>
        <v>0</v>
      </c>
      <c r="AO17" s="78">
        <f t="shared" si="0"/>
        <v>0</v>
      </c>
      <c r="AP17" s="78">
        <f t="shared" si="19"/>
        <v>0</v>
      </c>
      <c r="AQ17" s="81">
        <f t="shared" si="2"/>
        <v>0</v>
      </c>
      <c r="AR17" s="82">
        <f t="shared" si="20"/>
        <v>0</v>
      </c>
      <c r="AS17" s="82">
        <f t="shared" si="4"/>
        <v>4076000</v>
      </c>
      <c r="AT17" s="82">
        <f t="shared" si="5"/>
        <v>0</v>
      </c>
      <c r="AU17" s="83">
        <f t="shared" si="21"/>
        <v>0</v>
      </c>
      <c r="AV17" s="83">
        <f t="shared" si="22"/>
        <v>0</v>
      </c>
      <c r="AW17" s="83">
        <f t="shared" si="23"/>
        <v>0</v>
      </c>
      <c r="AX17" s="83">
        <f t="shared" si="24"/>
        <v>0</v>
      </c>
      <c r="AY17" s="84">
        <f t="shared" si="9"/>
        <v>0</v>
      </c>
      <c r="AZ17" s="91"/>
      <c r="BA17" s="78">
        <f t="shared" ref="BA17:BA24" si="25">E17*(J17+K17)/$A$5</f>
        <v>0</v>
      </c>
      <c r="BB17" s="78"/>
      <c r="BC17" s="78"/>
      <c r="BD17" s="78"/>
      <c r="BE17" s="92"/>
      <c r="BF17" s="85">
        <f t="shared" si="17"/>
        <v>11740000</v>
      </c>
      <c r="BG17" s="7">
        <f t="shared" si="10"/>
        <v>55000</v>
      </c>
      <c r="BH17" s="86">
        <v>494400</v>
      </c>
      <c r="BI17" s="86">
        <v>92700</v>
      </c>
      <c r="BJ17" s="86">
        <v>61800</v>
      </c>
      <c r="BK17" s="86"/>
      <c r="BL17" s="7"/>
      <c r="BM17" s="7"/>
      <c r="BN17" s="7"/>
      <c r="BO17" s="7"/>
      <c r="BP17" s="7"/>
      <c r="BQ17" s="7"/>
      <c r="BR17" s="86"/>
      <c r="BS17" s="7"/>
      <c r="BT17" s="7"/>
      <c r="BU17" s="7"/>
      <c r="BV17" s="7"/>
      <c r="BW17" s="87">
        <f t="shared" si="11"/>
        <v>703900</v>
      </c>
      <c r="BX17" s="7"/>
      <c r="BY17" s="7"/>
      <c r="BZ17" s="87">
        <f t="shared" si="12"/>
        <v>11036100</v>
      </c>
      <c r="CA17" s="7">
        <v>100000</v>
      </c>
      <c r="CB17" s="7">
        <f t="shared" si="13"/>
        <v>20</v>
      </c>
      <c r="CC17" s="7">
        <f t="shared" si="14"/>
        <v>660000</v>
      </c>
      <c r="CD17" s="87">
        <f t="shared" si="15"/>
        <v>11796100</v>
      </c>
      <c r="CE17" s="119"/>
    </row>
    <row r="18" spans="1:83" s="127" customFormat="1" ht="46.2" customHeight="1">
      <c r="A18" s="67">
        <v>9</v>
      </c>
      <c r="B18" s="93" t="s">
        <v>50</v>
      </c>
      <c r="C18" s="67" t="s">
        <v>20</v>
      </c>
      <c r="D18" s="70">
        <v>13690000</v>
      </c>
      <c r="E18" s="75"/>
      <c r="F18" s="72">
        <v>6500000</v>
      </c>
      <c r="G18" s="71">
        <v>6180000</v>
      </c>
      <c r="H18" s="71"/>
      <c r="I18" s="73" t="s">
        <v>17</v>
      </c>
      <c r="J18" s="75">
        <v>20</v>
      </c>
      <c r="K18" s="75">
        <v>2</v>
      </c>
      <c r="L18" s="75">
        <v>0</v>
      </c>
      <c r="M18" s="75">
        <v>0</v>
      </c>
      <c r="N18" s="75"/>
      <c r="O18" s="75">
        <v>0</v>
      </c>
      <c r="P18" s="88">
        <v>27.5</v>
      </c>
      <c r="Q18" s="76"/>
      <c r="R18" s="76"/>
      <c r="S18" s="76">
        <v>0</v>
      </c>
      <c r="T18" s="74">
        <v>0</v>
      </c>
      <c r="U18" s="74">
        <v>0</v>
      </c>
      <c r="V18" s="74">
        <v>0</v>
      </c>
      <c r="W18" s="74">
        <v>0</v>
      </c>
      <c r="X18" s="74">
        <v>0</v>
      </c>
      <c r="Y18" s="74">
        <v>0</v>
      </c>
      <c r="Z18" s="74">
        <v>0</v>
      </c>
      <c r="AA18" s="74">
        <v>0</v>
      </c>
      <c r="AB18" s="74">
        <v>0</v>
      </c>
      <c r="AC18" s="74">
        <v>0</v>
      </c>
      <c r="AD18" s="75">
        <v>0</v>
      </c>
      <c r="AE18" s="75">
        <v>0</v>
      </c>
      <c r="AF18" s="90">
        <v>20.900000000000006</v>
      </c>
      <c r="AG18" s="90">
        <v>0</v>
      </c>
      <c r="AH18" s="90">
        <v>43</v>
      </c>
      <c r="AI18" s="90">
        <v>0</v>
      </c>
      <c r="AJ18" s="73">
        <f t="shared" si="6"/>
        <v>5023000</v>
      </c>
      <c r="AK18" s="80">
        <f t="shared" si="7"/>
        <v>2079000</v>
      </c>
      <c r="AL18" s="78">
        <f t="shared" si="8"/>
        <v>562000</v>
      </c>
      <c r="AM18" s="78"/>
      <c r="AN18" s="78">
        <f t="shared" si="18"/>
        <v>0</v>
      </c>
      <c r="AO18" s="78">
        <f t="shared" si="0"/>
        <v>0</v>
      </c>
      <c r="AP18" s="78">
        <f t="shared" si="19"/>
        <v>0</v>
      </c>
      <c r="AQ18" s="81">
        <f t="shared" si="2"/>
        <v>8690000</v>
      </c>
      <c r="AR18" s="82">
        <f t="shared" si="20"/>
        <v>0</v>
      </c>
      <c r="AS18" s="82">
        <f t="shared" si="4"/>
        <v>2748000</v>
      </c>
      <c r="AT18" s="82">
        <f t="shared" si="5"/>
        <v>0</v>
      </c>
      <c r="AU18" s="83">
        <f t="shared" si="21"/>
        <v>0</v>
      </c>
      <c r="AV18" s="83">
        <f t="shared" si="22"/>
        <v>0</v>
      </c>
      <c r="AW18" s="83">
        <f t="shared" si="23"/>
        <v>0</v>
      </c>
      <c r="AX18" s="83">
        <f t="shared" si="24"/>
        <v>0</v>
      </c>
      <c r="AY18" s="84">
        <f t="shared" si="9"/>
        <v>0</v>
      </c>
      <c r="AZ18" s="91"/>
      <c r="BA18" s="78">
        <f t="shared" si="25"/>
        <v>0</v>
      </c>
      <c r="BB18" s="73"/>
      <c r="BC18" s="73"/>
      <c r="BD18" s="73"/>
      <c r="BE18" s="92"/>
      <c r="BF18" s="85">
        <f t="shared" si="16"/>
        <v>19102000</v>
      </c>
      <c r="BG18" s="7">
        <f t="shared" si="10"/>
        <v>92000</v>
      </c>
      <c r="BH18" s="86">
        <v>494400</v>
      </c>
      <c r="BI18" s="86">
        <v>92700</v>
      </c>
      <c r="BJ18" s="86">
        <v>61800</v>
      </c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>
        <v>500000</v>
      </c>
      <c r="BV18" s="86"/>
      <c r="BW18" s="94">
        <f t="shared" si="11"/>
        <v>1240900</v>
      </c>
      <c r="BX18" s="86"/>
      <c r="BY18" s="86"/>
      <c r="BZ18" s="94">
        <f t="shared" si="12"/>
        <v>17861100</v>
      </c>
      <c r="CA18" s="7">
        <v>100000</v>
      </c>
      <c r="CB18" s="7">
        <f t="shared" si="13"/>
        <v>20</v>
      </c>
      <c r="CC18" s="7">
        <f t="shared" si="14"/>
        <v>660000</v>
      </c>
      <c r="CD18" s="94">
        <f t="shared" si="15"/>
        <v>18621100</v>
      </c>
      <c r="CE18" s="120"/>
    </row>
    <row r="19" spans="1:83" s="127" customFormat="1" ht="46.2" customHeight="1">
      <c r="A19" s="67">
        <v>10</v>
      </c>
      <c r="B19" s="93" t="s">
        <v>53</v>
      </c>
      <c r="C19" s="67" t="s">
        <v>20</v>
      </c>
      <c r="D19" s="70">
        <v>14200000</v>
      </c>
      <c r="E19" s="75"/>
      <c r="F19" s="72">
        <v>6500000</v>
      </c>
      <c r="G19" s="71">
        <v>6490000</v>
      </c>
      <c r="H19" s="71"/>
      <c r="I19" s="73" t="s">
        <v>17</v>
      </c>
      <c r="J19" s="75">
        <v>20</v>
      </c>
      <c r="K19" s="75">
        <v>2</v>
      </c>
      <c r="L19" s="75">
        <v>0</v>
      </c>
      <c r="M19" s="75">
        <v>0</v>
      </c>
      <c r="N19" s="75"/>
      <c r="O19" s="75">
        <v>0</v>
      </c>
      <c r="P19" s="88">
        <v>0</v>
      </c>
      <c r="Q19" s="76"/>
      <c r="R19" s="76"/>
      <c r="S19" s="76">
        <v>0</v>
      </c>
      <c r="T19" s="74">
        <v>0</v>
      </c>
      <c r="U19" s="74">
        <v>0</v>
      </c>
      <c r="V19" s="74">
        <v>0</v>
      </c>
      <c r="W19" s="74">
        <v>0</v>
      </c>
      <c r="X19" s="74">
        <v>0</v>
      </c>
      <c r="Y19" s="74">
        <v>0</v>
      </c>
      <c r="Z19" s="74">
        <v>0</v>
      </c>
      <c r="AA19" s="74">
        <v>0</v>
      </c>
      <c r="AB19" s="74">
        <v>0</v>
      </c>
      <c r="AC19" s="74">
        <v>0</v>
      </c>
      <c r="AD19" s="75">
        <v>0</v>
      </c>
      <c r="AE19" s="75">
        <v>0</v>
      </c>
      <c r="AF19" s="90">
        <v>26.200000000000003</v>
      </c>
      <c r="AG19" s="90">
        <v>0</v>
      </c>
      <c r="AH19" s="90">
        <v>11.466666666666669</v>
      </c>
      <c r="AI19" s="90">
        <v>0</v>
      </c>
      <c r="AJ19" s="73">
        <f t="shared" si="6"/>
        <v>5023000</v>
      </c>
      <c r="AK19" s="80">
        <f t="shared" si="7"/>
        <v>2473000</v>
      </c>
      <c r="AL19" s="78">
        <f t="shared" si="8"/>
        <v>590000</v>
      </c>
      <c r="AM19" s="78"/>
      <c r="AN19" s="78">
        <f t="shared" si="18"/>
        <v>0</v>
      </c>
      <c r="AO19" s="78">
        <f t="shared" si="0"/>
        <v>0</v>
      </c>
      <c r="AP19" s="78">
        <f t="shared" si="19"/>
        <v>0</v>
      </c>
      <c r="AQ19" s="81">
        <f t="shared" si="2"/>
        <v>0</v>
      </c>
      <c r="AR19" s="82">
        <f t="shared" si="20"/>
        <v>0</v>
      </c>
      <c r="AS19" s="82">
        <f t="shared" si="4"/>
        <v>1620000</v>
      </c>
      <c r="AT19" s="82">
        <f t="shared" si="5"/>
        <v>0</v>
      </c>
      <c r="AU19" s="83">
        <f t="shared" si="21"/>
        <v>0</v>
      </c>
      <c r="AV19" s="83">
        <f t="shared" si="22"/>
        <v>0</v>
      </c>
      <c r="AW19" s="83">
        <f t="shared" si="23"/>
        <v>0</v>
      </c>
      <c r="AX19" s="83">
        <f t="shared" si="24"/>
        <v>0</v>
      </c>
      <c r="AY19" s="84">
        <f t="shared" si="9"/>
        <v>0</v>
      </c>
      <c r="AZ19" s="91"/>
      <c r="BA19" s="78">
        <f t="shared" si="25"/>
        <v>0</v>
      </c>
      <c r="BB19" s="73"/>
      <c r="BC19" s="73"/>
      <c r="BD19" s="73"/>
      <c r="BE19" s="92"/>
      <c r="BF19" s="85">
        <f t="shared" si="16"/>
        <v>9706000</v>
      </c>
      <c r="BG19" s="7">
        <f t="shared" si="10"/>
        <v>45000</v>
      </c>
      <c r="BH19" s="86">
        <v>519200</v>
      </c>
      <c r="BI19" s="86">
        <v>97350</v>
      </c>
      <c r="BJ19" s="86">
        <v>64900</v>
      </c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94">
        <f t="shared" si="11"/>
        <v>726450</v>
      </c>
      <c r="BX19" s="86"/>
      <c r="BY19" s="86"/>
      <c r="BZ19" s="94">
        <f t="shared" si="12"/>
        <v>8979550</v>
      </c>
      <c r="CA19" s="7">
        <v>100000</v>
      </c>
      <c r="CB19" s="7">
        <f t="shared" si="13"/>
        <v>20</v>
      </c>
      <c r="CC19" s="7">
        <f t="shared" si="14"/>
        <v>660000</v>
      </c>
      <c r="CD19" s="94">
        <f t="shared" si="15"/>
        <v>9739550</v>
      </c>
      <c r="CE19" s="120"/>
    </row>
    <row r="20" spans="1:83" s="127" customFormat="1" ht="46.2" customHeight="1">
      <c r="A20" s="67">
        <v>11</v>
      </c>
      <c r="B20" s="93" t="s">
        <v>54</v>
      </c>
      <c r="C20" s="67" t="s">
        <v>20</v>
      </c>
      <c r="D20" s="70">
        <v>14200000</v>
      </c>
      <c r="E20" s="75"/>
      <c r="F20" s="72">
        <v>6500000</v>
      </c>
      <c r="G20" s="71">
        <v>6490000</v>
      </c>
      <c r="H20" s="71"/>
      <c r="I20" s="73" t="s">
        <v>17</v>
      </c>
      <c r="J20" s="75">
        <v>20</v>
      </c>
      <c r="K20" s="75">
        <v>2</v>
      </c>
      <c r="L20" s="75">
        <v>0</v>
      </c>
      <c r="M20" s="75">
        <v>0</v>
      </c>
      <c r="N20" s="75"/>
      <c r="O20" s="75">
        <v>0</v>
      </c>
      <c r="P20" s="88">
        <v>0</v>
      </c>
      <c r="Q20" s="76"/>
      <c r="R20" s="76"/>
      <c r="S20" s="82">
        <v>0</v>
      </c>
      <c r="T20" s="74">
        <v>0</v>
      </c>
      <c r="U20" s="74">
        <v>0</v>
      </c>
      <c r="V20" s="74">
        <v>0</v>
      </c>
      <c r="W20" s="74">
        <v>0</v>
      </c>
      <c r="X20" s="74">
        <v>0</v>
      </c>
      <c r="Y20" s="74">
        <v>0</v>
      </c>
      <c r="Z20" s="74">
        <v>0</v>
      </c>
      <c r="AA20" s="74">
        <v>0</v>
      </c>
      <c r="AB20" s="74">
        <v>0</v>
      </c>
      <c r="AC20" s="74">
        <v>0</v>
      </c>
      <c r="AD20" s="75">
        <v>0</v>
      </c>
      <c r="AE20" s="75">
        <v>0</v>
      </c>
      <c r="AF20" s="90">
        <v>4.5</v>
      </c>
      <c r="AG20" s="90">
        <v>0</v>
      </c>
      <c r="AH20" s="90">
        <v>28.133333333333326</v>
      </c>
      <c r="AI20" s="90">
        <v>50</v>
      </c>
      <c r="AJ20" s="73">
        <f t="shared" si="6"/>
        <v>5023000</v>
      </c>
      <c r="AK20" s="80">
        <f t="shared" si="7"/>
        <v>2473000</v>
      </c>
      <c r="AL20" s="78">
        <f t="shared" si="8"/>
        <v>590000</v>
      </c>
      <c r="AM20" s="78"/>
      <c r="AN20" s="78">
        <f t="shared" si="18"/>
        <v>0</v>
      </c>
      <c r="AO20" s="78">
        <f t="shared" si="0"/>
        <v>0</v>
      </c>
      <c r="AP20" s="78">
        <f t="shared" si="19"/>
        <v>0</v>
      </c>
      <c r="AQ20" s="81">
        <f t="shared" si="2"/>
        <v>0</v>
      </c>
      <c r="AR20" s="82">
        <f t="shared" si="20"/>
        <v>0</v>
      </c>
      <c r="AS20" s="82">
        <f t="shared" si="4"/>
        <v>1403000</v>
      </c>
      <c r="AT20" s="82">
        <f>ROUND(AE20*54000+AG20*54000+AI20*57000,-3)</f>
        <v>2850000</v>
      </c>
      <c r="AU20" s="83">
        <f t="shared" si="21"/>
        <v>0</v>
      </c>
      <c r="AV20" s="83">
        <f t="shared" si="22"/>
        <v>0</v>
      </c>
      <c r="AW20" s="83">
        <f t="shared" si="23"/>
        <v>0</v>
      </c>
      <c r="AX20" s="83">
        <f t="shared" si="24"/>
        <v>0</v>
      </c>
      <c r="AY20" s="84">
        <f t="shared" si="9"/>
        <v>0</v>
      </c>
      <c r="AZ20" s="91"/>
      <c r="BA20" s="78">
        <f t="shared" si="25"/>
        <v>0</v>
      </c>
      <c r="BB20" s="73"/>
      <c r="BC20" s="73"/>
      <c r="BD20" s="73"/>
      <c r="BE20" s="92"/>
      <c r="BF20" s="85">
        <f t="shared" si="16"/>
        <v>12339000</v>
      </c>
      <c r="BG20" s="7">
        <f t="shared" si="10"/>
        <v>58000</v>
      </c>
      <c r="BH20" s="86">
        <v>519200</v>
      </c>
      <c r="BI20" s="86">
        <v>97350</v>
      </c>
      <c r="BJ20" s="86">
        <v>64900</v>
      </c>
      <c r="BK20" s="7"/>
      <c r="BL20" s="7"/>
      <c r="BM20" s="7"/>
      <c r="BN20" s="7"/>
      <c r="BO20" s="7"/>
      <c r="BP20" s="7"/>
      <c r="BQ20" s="7"/>
      <c r="BR20" s="86"/>
      <c r="BS20" s="7"/>
      <c r="BT20" s="7"/>
      <c r="BU20" s="7"/>
      <c r="BV20" s="7"/>
      <c r="BW20" s="87">
        <f t="shared" si="11"/>
        <v>739450</v>
      </c>
      <c r="BX20" s="7"/>
      <c r="BY20" s="7"/>
      <c r="BZ20" s="87">
        <f t="shared" si="12"/>
        <v>11599550</v>
      </c>
      <c r="CA20" s="7">
        <v>100000</v>
      </c>
      <c r="CB20" s="7">
        <f t="shared" si="13"/>
        <v>20</v>
      </c>
      <c r="CC20" s="7">
        <f t="shared" si="14"/>
        <v>660000</v>
      </c>
      <c r="CD20" s="87">
        <f t="shared" si="15"/>
        <v>12359550</v>
      </c>
      <c r="CE20" s="120"/>
    </row>
    <row r="21" spans="1:83" s="127" customFormat="1" ht="46.2" customHeight="1">
      <c r="A21" s="67">
        <v>12</v>
      </c>
      <c r="B21" s="93" t="s">
        <v>57</v>
      </c>
      <c r="C21" s="67" t="s">
        <v>20</v>
      </c>
      <c r="D21" s="70">
        <v>14700000</v>
      </c>
      <c r="E21" s="75"/>
      <c r="F21" s="72">
        <v>6500000</v>
      </c>
      <c r="G21" s="71">
        <v>6830000</v>
      </c>
      <c r="H21" s="71"/>
      <c r="I21" s="73" t="s">
        <v>17</v>
      </c>
      <c r="J21" s="75">
        <v>20</v>
      </c>
      <c r="K21" s="75">
        <v>2</v>
      </c>
      <c r="L21" s="75">
        <v>0</v>
      </c>
      <c r="M21" s="75">
        <v>0</v>
      </c>
      <c r="N21" s="75"/>
      <c r="O21" s="75">
        <v>0</v>
      </c>
      <c r="P21" s="88">
        <v>0</v>
      </c>
      <c r="Q21" s="76"/>
      <c r="R21" s="76"/>
      <c r="S21" s="76">
        <v>0</v>
      </c>
      <c r="T21" s="74">
        <v>0</v>
      </c>
      <c r="U21" s="74">
        <v>0</v>
      </c>
      <c r="V21" s="74">
        <v>0</v>
      </c>
      <c r="W21" s="74">
        <v>0</v>
      </c>
      <c r="X21" s="74">
        <v>0</v>
      </c>
      <c r="Y21" s="74">
        <v>0</v>
      </c>
      <c r="Z21" s="74">
        <v>0</v>
      </c>
      <c r="AA21" s="74">
        <v>0</v>
      </c>
      <c r="AB21" s="74">
        <v>0</v>
      </c>
      <c r="AC21" s="74">
        <v>0</v>
      </c>
      <c r="AD21" s="75">
        <v>0</v>
      </c>
      <c r="AE21" s="75">
        <v>0</v>
      </c>
      <c r="AF21" s="90">
        <v>30</v>
      </c>
      <c r="AG21" s="90">
        <v>0</v>
      </c>
      <c r="AH21" s="90">
        <v>46.733333333333348</v>
      </c>
      <c r="AI21" s="90">
        <v>0</v>
      </c>
      <c r="AJ21" s="73">
        <f t="shared" si="6"/>
        <v>5023000</v>
      </c>
      <c r="AK21" s="80">
        <f t="shared" si="7"/>
        <v>2859000</v>
      </c>
      <c r="AL21" s="78">
        <f t="shared" si="8"/>
        <v>621000</v>
      </c>
      <c r="AM21" s="78"/>
      <c r="AN21" s="78">
        <f t="shared" si="18"/>
        <v>0</v>
      </c>
      <c r="AO21" s="78">
        <f t="shared" si="0"/>
        <v>0</v>
      </c>
      <c r="AP21" s="78">
        <f t="shared" si="19"/>
        <v>0</v>
      </c>
      <c r="AQ21" s="81">
        <f t="shared" si="2"/>
        <v>0</v>
      </c>
      <c r="AR21" s="82">
        <f t="shared" si="20"/>
        <v>0</v>
      </c>
      <c r="AS21" s="82">
        <f t="shared" si="4"/>
        <v>3300000</v>
      </c>
      <c r="AT21" s="82">
        <f t="shared" si="5"/>
        <v>0</v>
      </c>
      <c r="AU21" s="83">
        <f t="shared" si="21"/>
        <v>0</v>
      </c>
      <c r="AV21" s="83">
        <f t="shared" si="22"/>
        <v>0</v>
      </c>
      <c r="AW21" s="83">
        <f t="shared" si="23"/>
        <v>0</v>
      </c>
      <c r="AX21" s="83">
        <f t="shared" si="24"/>
        <v>0</v>
      </c>
      <c r="AY21" s="84">
        <f t="shared" si="9"/>
        <v>0</v>
      </c>
      <c r="AZ21" s="91"/>
      <c r="BA21" s="78">
        <f t="shared" si="25"/>
        <v>0</v>
      </c>
      <c r="BB21" s="73"/>
      <c r="BC21" s="73"/>
      <c r="BD21" s="73"/>
      <c r="BE21" s="92"/>
      <c r="BF21" s="85">
        <f t="shared" si="16"/>
        <v>11803000</v>
      </c>
      <c r="BG21" s="7">
        <f t="shared" si="10"/>
        <v>55000</v>
      </c>
      <c r="BH21" s="86">
        <v>546400</v>
      </c>
      <c r="BI21" s="86">
        <v>102450</v>
      </c>
      <c r="BJ21" s="86">
        <v>68300</v>
      </c>
      <c r="BK21" s="86"/>
      <c r="BL21" s="7"/>
      <c r="BM21" s="7"/>
      <c r="BN21" s="7"/>
      <c r="BO21" s="7"/>
      <c r="BP21" s="7"/>
      <c r="BQ21" s="7"/>
      <c r="BR21" s="86"/>
      <c r="BS21" s="7"/>
      <c r="BT21" s="7"/>
      <c r="BU21" s="7"/>
      <c r="BV21" s="7"/>
      <c r="BW21" s="87">
        <f t="shared" si="11"/>
        <v>772150</v>
      </c>
      <c r="BX21" s="7"/>
      <c r="BY21" s="7"/>
      <c r="BZ21" s="87">
        <f t="shared" si="12"/>
        <v>11030850</v>
      </c>
      <c r="CA21" s="7">
        <v>100000</v>
      </c>
      <c r="CB21" s="7">
        <f t="shared" si="13"/>
        <v>20</v>
      </c>
      <c r="CC21" s="7">
        <f t="shared" si="14"/>
        <v>660000</v>
      </c>
      <c r="CD21" s="87">
        <f t="shared" si="15"/>
        <v>11790850</v>
      </c>
      <c r="CE21" s="120"/>
    </row>
    <row r="22" spans="1:83" s="126" customFormat="1" ht="46.2" customHeight="1">
      <c r="A22" s="67">
        <v>13</v>
      </c>
      <c r="B22" s="68" t="s">
        <v>23</v>
      </c>
      <c r="C22" s="67" t="s">
        <v>51</v>
      </c>
      <c r="D22" s="75">
        <v>9160000</v>
      </c>
      <c r="E22" s="75"/>
      <c r="F22" s="72">
        <v>6500000</v>
      </c>
      <c r="G22" s="71">
        <v>5860000</v>
      </c>
      <c r="H22" s="71"/>
      <c r="I22" s="73" t="s">
        <v>17</v>
      </c>
      <c r="J22" s="75">
        <v>20</v>
      </c>
      <c r="K22" s="75">
        <v>2</v>
      </c>
      <c r="L22" s="75"/>
      <c r="M22" s="75">
        <v>0</v>
      </c>
      <c r="N22" s="75"/>
      <c r="O22" s="75">
        <v>0</v>
      </c>
      <c r="P22" s="88">
        <v>16.25</v>
      </c>
      <c r="Q22" s="76"/>
      <c r="R22" s="76"/>
      <c r="S22" s="76">
        <v>0</v>
      </c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95"/>
      <c r="AI22" s="74"/>
      <c r="AJ22" s="73">
        <f>ROUND(F22*(J22)/$A$5,-3)</f>
        <v>5909000</v>
      </c>
      <c r="AK22" s="80">
        <f>ROUND(IF(I22="A",(D22-F22)*(J22)/$A$5,IF(I22="B",(D22-F22)*0.5*(J22)/$A$5*$B$5,IF(I22="C",0))),-3)</f>
        <v>2418000</v>
      </c>
      <c r="AL22" s="78">
        <f t="shared" si="8"/>
        <v>533000</v>
      </c>
      <c r="AM22" s="78"/>
      <c r="AN22" s="78">
        <f t="shared" si="18"/>
        <v>0</v>
      </c>
      <c r="AO22" s="78">
        <f t="shared" si="0"/>
        <v>0</v>
      </c>
      <c r="AP22" s="78">
        <f t="shared" si="19"/>
        <v>0</v>
      </c>
      <c r="AQ22" s="81">
        <f t="shared" si="2"/>
        <v>5135000</v>
      </c>
      <c r="AR22" s="82">
        <f t="shared" si="20"/>
        <v>0</v>
      </c>
      <c r="AS22" s="82">
        <f t="shared" si="4"/>
        <v>0</v>
      </c>
      <c r="AT22" s="82">
        <f t="shared" si="5"/>
        <v>0</v>
      </c>
      <c r="AU22" s="83">
        <f t="shared" si="21"/>
        <v>0</v>
      </c>
      <c r="AV22" s="83">
        <f t="shared" si="22"/>
        <v>0</v>
      </c>
      <c r="AW22" s="83">
        <f t="shared" si="23"/>
        <v>0</v>
      </c>
      <c r="AX22" s="83">
        <f t="shared" si="24"/>
        <v>0</v>
      </c>
      <c r="AY22" s="84">
        <f t="shared" si="9"/>
        <v>0</v>
      </c>
      <c r="AZ22" s="91"/>
      <c r="BA22" s="78">
        <f t="shared" si="25"/>
        <v>0</v>
      </c>
      <c r="BB22" s="78"/>
      <c r="BC22" s="78"/>
      <c r="BD22" s="78"/>
      <c r="BE22" s="92"/>
      <c r="BF22" s="85">
        <f t="shared" si="16"/>
        <v>13995000</v>
      </c>
      <c r="BG22" s="7">
        <f t="shared" si="10"/>
        <v>67000</v>
      </c>
      <c r="BH22" s="86">
        <v>468800</v>
      </c>
      <c r="BI22" s="86">
        <v>87900</v>
      </c>
      <c r="BJ22" s="86">
        <v>58600</v>
      </c>
      <c r="BK22" s="86"/>
      <c r="BL22" s="7"/>
      <c r="BM22" s="7"/>
      <c r="BN22" s="7"/>
      <c r="BO22" s="7"/>
      <c r="BP22" s="7"/>
      <c r="BQ22" s="7"/>
      <c r="BR22" s="86"/>
      <c r="BS22" s="7"/>
      <c r="BT22" s="7"/>
      <c r="BU22" s="7"/>
      <c r="BV22" s="7"/>
      <c r="BW22" s="87">
        <f t="shared" si="11"/>
        <v>682300</v>
      </c>
      <c r="BX22" s="7"/>
      <c r="BY22" s="7"/>
      <c r="BZ22" s="87">
        <f t="shared" si="12"/>
        <v>13312700</v>
      </c>
      <c r="CA22" s="7">
        <v>100000</v>
      </c>
      <c r="CB22" s="7">
        <f t="shared" si="13"/>
        <v>20</v>
      </c>
      <c r="CC22" s="7">
        <f t="shared" si="14"/>
        <v>660000</v>
      </c>
      <c r="CD22" s="87">
        <f t="shared" si="15"/>
        <v>14072700</v>
      </c>
      <c r="CE22" s="119"/>
    </row>
    <row r="23" spans="1:83" s="126" customFormat="1" ht="46.2" customHeight="1">
      <c r="A23" s="67">
        <v>14</v>
      </c>
      <c r="B23" s="95" t="s">
        <v>43</v>
      </c>
      <c r="C23" s="67" t="s">
        <v>51</v>
      </c>
      <c r="D23" s="75">
        <v>8740000</v>
      </c>
      <c r="E23" s="75"/>
      <c r="F23" s="72">
        <v>6500000</v>
      </c>
      <c r="G23" s="71">
        <v>5580000</v>
      </c>
      <c r="H23" s="71"/>
      <c r="I23" s="73" t="s">
        <v>17</v>
      </c>
      <c r="J23" s="75">
        <v>20</v>
      </c>
      <c r="K23" s="75">
        <v>2</v>
      </c>
      <c r="L23" s="75">
        <v>0</v>
      </c>
      <c r="M23" s="75">
        <v>0</v>
      </c>
      <c r="N23" s="75"/>
      <c r="O23" s="75"/>
      <c r="P23" s="88">
        <v>14.75</v>
      </c>
      <c r="Q23" s="76"/>
      <c r="R23" s="76"/>
      <c r="S23" s="76">
        <v>0</v>
      </c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3">
        <f>ROUND(F23*(J23)/$A$5,-3)</f>
        <v>5909000</v>
      </c>
      <c r="AK23" s="80">
        <f>ROUND(IF(I23="A",(D23-F23)*(J23)/$A$5,IF(I23="B",(D23-F23)*0.5*(J23)/$A$5*$B$5,IF(I23="C",0))),-3)</f>
        <v>2036000</v>
      </c>
      <c r="AL23" s="78">
        <f t="shared" si="8"/>
        <v>507000</v>
      </c>
      <c r="AM23" s="78"/>
      <c r="AN23" s="78">
        <f t="shared" si="18"/>
        <v>0</v>
      </c>
      <c r="AO23" s="78">
        <f t="shared" si="0"/>
        <v>0</v>
      </c>
      <c r="AP23" s="78">
        <f t="shared" si="19"/>
        <v>0</v>
      </c>
      <c r="AQ23" s="81">
        <f t="shared" si="2"/>
        <v>4661000</v>
      </c>
      <c r="AR23" s="82">
        <f t="shared" si="20"/>
        <v>0</v>
      </c>
      <c r="AS23" s="82">
        <f t="shared" si="4"/>
        <v>0</v>
      </c>
      <c r="AT23" s="82">
        <f t="shared" si="5"/>
        <v>0</v>
      </c>
      <c r="AU23" s="83">
        <f t="shared" si="21"/>
        <v>0</v>
      </c>
      <c r="AV23" s="83">
        <f t="shared" si="22"/>
        <v>0</v>
      </c>
      <c r="AW23" s="83">
        <f t="shared" si="23"/>
        <v>0</v>
      </c>
      <c r="AX23" s="83">
        <f t="shared" si="24"/>
        <v>0</v>
      </c>
      <c r="AY23" s="84">
        <f t="shared" si="9"/>
        <v>0</v>
      </c>
      <c r="AZ23" s="89"/>
      <c r="BA23" s="78">
        <f t="shared" si="25"/>
        <v>0</v>
      </c>
      <c r="BB23" s="78"/>
      <c r="BC23" s="78"/>
      <c r="BD23" s="78"/>
      <c r="BE23" s="92"/>
      <c r="BF23" s="85">
        <f t="shared" si="16"/>
        <v>13113000</v>
      </c>
      <c r="BG23" s="7">
        <f t="shared" si="10"/>
        <v>63000</v>
      </c>
      <c r="BH23" s="86">
        <v>446400</v>
      </c>
      <c r="BI23" s="86">
        <v>83700</v>
      </c>
      <c r="BJ23" s="86">
        <v>55800</v>
      </c>
      <c r="BK23" s="86"/>
      <c r="BL23" s="7"/>
      <c r="BM23" s="7"/>
      <c r="BN23" s="7"/>
      <c r="BO23" s="7"/>
      <c r="BP23" s="7"/>
      <c r="BQ23" s="7"/>
      <c r="BR23" s="86"/>
      <c r="BS23" s="7"/>
      <c r="BT23" s="7"/>
      <c r="BU23" s="7"/>
      <c r="BV23" s="7"/>
      <c r="BW23" s="87">
        <f t="shared" ref="BW23:BW24" si="26">SUM(BG23:BV23)</f>
        <v>648900</v>
      </c>
      <c r="BX23" s="7"/>
      <c r="BY23" s="7"/>
      <c r="BZ23" s="87">
        <f t="shared" si="12"/>
        <v>12464100</v>
      </c>
      <c r="CA23" s="7">
        <v>100000</v>
      </c>
      <c r="CB23" s="7">
        <f t="shared" si="13"/>
        <v>20</v>
      </c>
      <c r="CC23" s="7">
        <f t="shared" si="14"/>
        <v>660000</v>
      </c>
      <c r="CD23" s="87">
        <f t="shared" si="15"/>
        <v>13224100</v>
      </c>
      <c r="CE23" s="119"/>
    </row>
    <row r="24" spans="1:83" s="126" customFormat="1" ht="46.2" customHeight="1">
      <c r="A24" s="96">
        <v>15</v>
      </c>
      <c r="B24" s="97" t="s">
        <v>49</v>
      </c>
      <c r="C24" s="96" t="s">
        <v>51</v>
      </c>
      <c r="D24" s="98">
        <v>8740000</v>
      </c>
      <c r="E24" s="98"/>
      <c r="F24" s="99">
        <v>6500000</v>
      </c>
      <c r="G24" s="100">
        <v>5580000</v>
      </c>
      <c r="H24" s="100"/>
      <c r="I24" s="101" t="s">
        <v>17</v>
      </c>
      <c r="J24" s="98">
        <v>20</v>
      </c>
      <c r="K24" s="98">
        <v>2</v>
      </c>
      <c r="L24" s="98">
        <v>0</v>
      </c>
      <c r="M24" s="98">
        <v>0</v>
      </c>
      <c r="N24" s="98"/>
      <c r="O24" s="98">
        <v>0</v>
      </c>
      <c r="P24" s="102">
        <v>13.5</v>
      </c>
      <c r="Q24" s="103"/>
      <c r="R24" s="103"/>
      <c r="S24" s="103">
        <v>0</v>
      </c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1">
        <f>ROUND(F24*(J24)/$A$5,-3)</f>
        <v>5909000</v>
      </c>
      <c r="AK24" s="105">
        <f>ROUND(IF(I24="A",(D24-F24)*(J24)/$A$5,IF(I24="B",(D24-F24)*0.5*(J24)/$A$5*$B$5,IF(I24="C",0))),-3)</f>
        <v>2036000</v>
      </c>
      <c r="AL24" s="106">
        <f t="shared" si="8"/>
        <v>507000</v>
      </c>
      <c r="AM24" s="106"/>
      <c r="AN24" s="106">
        <f t="shared" si="18"/>
        <v>0</v>
      </c>
      <c r="AO24" s="106">
        <f t="shared" si="0"/>
        <v>0</v>
      </c>
      <c r="AP24" s="106">
        <f t="shared" si="19"/>
        <v>0</v>
      </c>
      <c r="AQ24" s="107">
        <f t="shared" si="2"/>
        <v>4266000</v>
      </c>
      <c r="AR24" s="108">
        <f t="shared" si="20"/>
        <v>0</v>
      </c>
      <c r="AS24" s="108">
        <f t="shared" si="4"/>
        <v>0</v>
      </c>
      <c r="AT24" s="108">
        <f t="shared" si="5"/>
        <v>0</v>
      </c>
      <c r="AU24" s="109">
        <f t="shared" si="21"/>
        <v>0</v>
      </c>
      <c r="AV24" s="109">
        <f t="shared" si="22"/>
        <v>0</v>
      </c>
      <c r="AW24" s="109">
        <f t="shared" si="23"/>
        <v>0</v>
      </c>
      <c r="AX24" s="109">
        <f t="shared" si="24"/>
        <v>0</v>
      </c>
      <c r="AY24" s="110">
        <f t="shared" si="9"/>
        <v>0</v>
      </c>
      <c r="AZ24" s="111"/>
      <c r="BA24" s="106">
        <f t="shared" si="25"/>
        <v>0</v>
      </c>
      <c r="BB24" s="101"/>
      <c r="BC24" s="101"/>
      <c r="BD24" s="101"/>
      <c r="BE24" s="112"/>
      <c r="BF24" s="113">
        <f t="shared" si="16"/>
        <v>12718000</v>
      </c>
      <c r="BG24" s="8">
        <f t="shared" si="10"/>
        <v>61000</v>
      </c>
      <c r="BH24" s="114">
        <v>446400</v>
      </c>
      <c r="BI24" s="114">
        <v>83700</v>
      </c>
      <c r="BJ24" s="114">
        <v>55800</v>
      </c>
      <c r="BK24" s="114"/>
      <c r="BL24" s="8"/>
      <c r="BM24" s="8"/>
      <c r="BN24" s="8"/>
      <c r="BO24" s="8"/>
      <c r="BP24" s="8"/>
      <c r="BQ24" s="8"/>
      <c r="BR24" s="114"/>
      <c r="BS24" s="8"/>
      <c r="BT24" s="8"/>
      <c r="BU24" s="8"/>
      <c r="BV24" s="8"/>
      <c r="BW24" s="115">
        <f t="shared" si="26"/>
        <v>646900</v>
      </c>
      <c r="BX24" s="8"/>
      <c r="BY24" s="8"/>
      <c r="BZ24" s="115">
        <f t="shared" si="12"/>
        <v>12071100</v>
      </c>
      <c r="CA24" s="8">
        <v>100000</v>
      </c>
      <c r="CB24" s="8">
        <f t="shared" si="13"/>
        <v>20</v>
      </c>
      <c r="CC24" s="8">
        <f t="shared" si="14"/>
        <v>660000</v>
      </c>
      <c r="CD24" s="115">
        <f t="shared" si="15"/>
        <v>12831100</v>
      </c>
      <c r="CE24" s="119"/>
    </row>
    <row r="25" spans="1:83" s="141" customFormat="1" ht="46.2" customHeight="1">
      <c r="A25" s="138" t="s">
        <v>106</v>
      </c>
      <c r="B25" s="138" t="s">
        <v>24</v>
      </c>
      <c r="C25" s="138"/>
      <c r="D25" s="139">
        <f>SUM(D10:D13)+SUM(D14:D24)</f>
        <v>201060000</v>
      </c>
      <c r="E25" s="139">
        <f>SUM(E10:E13)+SUM(E14:E24)</f>
        <v>1470000</v>
      </c>
      <c r="F25" s="139">
        <f>SUM(F10:F13)+SUM(F14:F24)</f>
        <v>97500000</v>
      </c>
      <c r="G25" s="139">
        <f>SUM(G10:G13)+SUM(G14:G24)</f>
        <v>98520000</v>
      </c>
      <c r="H25" s="139">
        <f>SUM(H10:H13)+SUM(H14:H24)</f>
        <v>1470000</v>
      </c>
      <c r="I25" s="139">
        <f t="shared" ref="I25:BT25" si="27">SUM(I10:I24)</f>
        <v>0</v>
      </c>
      <c r="J25" s="139">
        <f t="shared" si="27"/>
        <v>300</v>
      </c>
      <c r="K25" s="139">
        <f t="shared" si="27"/>
        <v>30</v>
      </c>
      <c r="L25" s="139">
        <f t="shared" si="27"/>
        <v>0</v>
      </c>
      <c r="M25" s="139">
        <f t="shared" si="27"/>
        <v>0</v>
      </c>
      <c r="N25" s="139">
        <f t="shared" si="27"/>
        <v>0</v>
      </c>
      <c r="O25" s="139">
        <f t="shared" si="27"/>
        <v>0</v>
      </c>
      <c r="P25" s="139">
        <f t="shared" si="27"/>
        <v>107.5</v>
      </c>
      <c r="Q25" s="139">
        <f t="shared" si="27"/>
        <v>0</v>
      </c>
      <c r="R25" s="139">
        <f t="shared" si="27"/>
        <v>0</v>
      </c>
      <c r="S25" s="139">
        <f t="shared" si="27"/>
        <v>0</v>
      </c>
      <c r="T25" s="139">
        <f t="shared" si="27"/>
        <v>0</v>
      </c>
      <c r="U25" s="139">
        <f t="shared" si="27"/>
        <v>0</v>
      </c>
      <c r="V25" s="139">
        <f t="shared" si="27"/>
        <v>0</v>
      </c>
      <c r="W25" s="139">
        <f t="shared" si="27"/>
        <v>0</v>
      </c>
      <c r="X25" s="139">
        <f t="shared" si="27"/>
        <v>0</v>
      </c>
      <c r="Y25" s="139">
        <f t="shared" si="27"/>
        <v>0</v>
      </c>
      <c r="Z25" s="139">
        <f t="shared" si="27"/>
        <v>0</v>
      </c>
      <c r="AA25" s="139">
        <f t="shared" si="27"/>
        <v>0</v>
      </c>
      <c r="AB25" s="139">
        <f t="shared" si="27"/>
        <v>0</v>
      </c>
      <c r="AC25" s="139">
        <f t="shared" si="27"/>
        <v>0</v>
      </c>
      <c r="AD25" s="139">
        <f t="shared" si="27"/>
        <v>42</v>
      </c>
      <c r="AE25" s="139">
        <f t="shared" si="27"/>
        <v>0</v>
      </c>
      <c r="AF25" s="139">
        <f t="shared" si="27"/>
        <v>726.00000000000011</v>
      </c>
      <c r="AG25" s="139">
        <f t="shared" si="27"/>
        <v>0</v>
      </c>
      <c r="AH25" s="139">
        <f t="shared" si="27"/>
        <v>450.33333333333337</v>
      </c>
      <c r="AI25" s="139">
        <f t="shared" si="27"/>
        <v>115.13</v>
      </c>
      <c r="AJ25" s="139">
        <f t="shared" si="27"/>
        <v>79480000</v>
      </c>
      <c r="AK25" s="139">
        <f t="shared" si="27"/>
        <v>45075000</v>
      </c>
      <c r="AL25" s="139">
        <f t="shared" si="27"/>
        <v>8136000</v>
      </c>
      <c r="AM25" s="139">
        <f t="shared" si="27"/>
        <v>0</v>
      </c>
      <c r="AN25" s="139">
        <f t="shared" si="27"/>
        <v>0</v>
      </c>
      <c r="AO25" s="139">
        <f t="shared" si="27"/>
        <v>0</v>
      </c>
      <c r="AP25" s="139">
        <f t="shared" si="27"/>
        <v>0</v>
      </c>
      <c r="AQ25" s="139">
        <f t="shared" si="27"/>
        <v>33970000</v>
      </c>
      <c r="AR25" s="139">
        <f t="shared" si="27"/>
        <v>0</v>
      </c>
      <c r="AS25" s="139">
        <f t="shared" si="27"/>
        <v>52389000</v>
      </c>
      <c r="AT25" s="139">
        <f t="shared" si="27"/>
        <v>6562000</v>
      </c>
      <c r="AU25" s="139">
        <f t="shared" si="27"/>
        <v>0</v>
      </c>
      <c r="AV25" s="139">
        <f t="shared" si="27"/>
        <v>0</v>
      </c>
      <c r="AW25" s="139">
        <f t="shared" si="27"/>
        <v>0</v>
      </c>
      <c r="AX25" s="139">
        <f t="shared" si="27"/>
        <v>0</v>
      </c>
      <c r="AY25" s="139">
        <f t="shared" si="27"/>
        <v>0</v>
      </c>
      <c r="AZ25" s="139">
        <f t="shared" si="27"/>
        <v>1470000</v>
      </c>
      <c r="BA25" s="139">
        <f t="shared" si="27"/>
        <v>0</v>
      </c>
      <c r="BB25" s="139">
        <f t="shared" si="27"/>
        <v>0</v>
      </c>
      <c r="BC25" s="139">
        <f t="shared" si="27"/>
        <v>0</v>
      </c>
      <c r="BD25" s="139">
        <f t="shared" si="27"/>
        <v>0</v>
      </c>
      <c r="BE25" s="139">
        <f t="shared" si="27"/>
        <v>0</v>
      </c>
      <c r="BF25" s="139">
        <f t="shared" si="27"/>
        <v>227082000</v>
      </c>
      <c r="BG25" s="139">
        <f t="shared" si="27"/>
        <v>1082000</v>
      </c>
      <c r="BH25" s="139">
        <f t="shared" si="27"/>
        <v>7999200</v>
      </c>
      <c r="BI25" s="139">
        <f t="shared" si="27"/>
        <v>1499850</v>
      </c>
      <c r="BJ25" s="139">
        <f t="shared" si="27"/>
        <v>999900</v>
      </c>
      <c r="BK25" s="139">
        <f t="shared" si="27"/>
        <v>0</v>
      </c>
      <c r="BL25" s="139">
        <f t="shared" si="27"/>
        <v>0</v>
      </c>
      <c r="BM25" s="139">
        <f t="shared" si="27"/>
        <v>0</v>
      </c>
      <c r="BN25" s="139">
        <f t="shared" si="27"/>
        <v>0</v>
      </c>
      <c r="BO25" s="139">
        <f t="shared" si="27"/>
        <v>0</v>
      </c>
      <c r="BP25" s="139">
        <f t="shared" si="27"/>
        <v>0</v>
      </c>
      <c r="BQ25" s="139">
        <f t="shared" si="27"/>
        <v>0</v>
      </c>
      <c r="BR25" s="139">
        <f t="shared" si="27"/>
        <v>0</v>
      </c>
      <c r="BS25" s="139">
        <f t="shared" si="27"/>
        <v>2022000</v>
      </c>
      <c r="BT25" s="139">
        <f t="shared" si="27"/>
        <v>0</v>
      </c>
      <c r="BU25" s="139">
        <f t="shared" ref="BU25:CD25" si="28">SUM(BU10:BU24)</f>
        <v>1800000</v>
      </c>
      <c r="BV25" s="139">
        <f t="shared" si="28"/>
        <v>0</v>
      </c>
      <c r="BW25" s="139">
        <f t="shared" si="28"/>
        <v>15402950</v>
      </c>
      <c r="BX25" s="139">
        <f t="shared" si="28"/>
        <v>80000</v>
      </c>
      <c r="BY25" s="139">
        <f t="shared" si="28"/>
        <v>0</v>
      </c>
      <c r="BZ25" s="139">
        <f t="shared" si="28"/>
        <v>211759050</v>
      </c>
      <c r="CA25" s="139">
        <f t="shared" si="28"/>
        <v>1500000</v>
      </c>
      <c r="CB25" s="139">
        <f t="shared" si="28"/>
        <v>300</v>
      </c>
      <c r="CC25" s="139">
        <f t="shared" si="28"/>
        <v>9900000</v>
      </c>
      <c r="CD25" s="139">
        <f t="shared" si="28"/>
        <v>223159050</v>
      </c>
      <c r="CE25" s="140"/>
    </row>
    <row r="26" spans="1:83" ht="6" customHeight="1">
      <c r="A26" s="5"/>
      <c r="B26" s="5"/>
      <c r="C26" s="5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2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3"/>
      <c r="AE26" s="31"/>
      <c r="AF26" s="33"/>
      <c r="AG26" s="33"/>
      <c r="AH26" s="33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R26" s="34"/>
      <c r="BZ26" s="34"/>
    </row>
    <row r="27" spans="1:83">
      <c r="CE27" s="22"/>
    </row>
    <row r="28" spans="1:83">
      <c r="CE28" s="22"/>
    </row>
    <row r="29" spans="1:83">
      <c r="CE29" s="22"/>
    </row>
    <row r="30" spans="1:83">
      <c r="CE30" s="22"/>
    </row>
    <row r="52" spans="1:83" s="133" customFormat="1">
      <c r="A52" s="128"/>
      <c r="B52" s="123"/>
      <c r="C52" s="123"/>
      <c r="D52" s="123"/>
      <c r="E52" s="123"/>
      <c r="F52" s="123"/>
      <c r="G52" s="123"/>
      <c r="H52" s="123"/>
      <c r="I52" s="129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23"/>
      <c r="AK52" s="123"/>
      <c r="AL52" s="123"/>
      <c r="AM52" s="123"/>
      <c r="AN52" s="123"/>
      <c r="AO52" s="123"/>
      <c r="AP52" s="123"/>
      <c r="AQ52" s="131"/>
      <c r="AR52" s="123"/>
      <c r="AS52" s="123"/>
      <c r="AT52" s="123"/>
      <c r="AU52" s="123"/>
      <c r="AV52" s="123"/>
      <c r="AW52" s="123"/>
      <c r="AX52" s="123"/>
      <c r="AY52" s="123"/>
      <c r="AZ52" s="132"/>
      <c r="BA52" s="123"/>
      <c r="BF52" s="134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0"/>
    </row>
    <row r="53" spans="1:83" s="133" customFormat="1">
      <c r="A53" s="128"/>
      <c r="B53" s="123"/>
      <c r="C53" s="123"/>
      <c r="D53" s="123"/>
      <c r="E53" s="123"/>
      <c r="F53" s="123"/>
      <c r="G53" s="123"/>
      <c r="H53" s="123"/>
      <c r="I53" s="129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23"/>
      <c r="AK53" s="123"/>
      <c r="AL53" s="123"/>
      <c r="AM53" s="123"/>
      <c r="AN53" s="123"/>
      <c r="AO53" s="123"/>
      <c r="AP53" s="123"/>
      <c r="AQ53" s="131"/>
      <c r="AR53" s="123"/>
      <c r="AS53" s="123"/>
      <c r="AT53" s="123"/>
      <c r="AU53" s="123"/>
      <c r="AV53" s="123"/>
      <c r="AW53" s="123"/>
      <c r="AX53" s="123"/>
      <c r="AY53" s="123"/>
      <c r="AZ53" s="132"/>
      <c r="BA53" s="123"/>
      <c r="BF53" s="134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0"/>
    </row>
    <row r="54" spans="1:83" s="133" customFormat="1">
      <c r="A54" s="128"/>
      <c r="B54" s="123"/>
      <c r="C54" s="123"/>
      <c r="D54" s="123"/>
      <c r="E54" s="123"/>
      <c r="F54" s="123"/>
      <c r="G54" s="123"/>
      <c r="H54" s="123"/>
      <c r="I54" s="129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23"/>
      <c r="AK54" s="123"/>
      <c r="AL54" s="123"/>
      <c r="AM54" s="123"/>
      <c r="AN54" s="123"/>
      <c r="AO54" s="123"/>
      <c r="AP54" s="123"/>
      <c r="AQ54" s="131"/>
      <c r="AR54" s="123"/>
      <c r="AS54" s="123"/>
      <c r="AT54" s="123"/>
      <c r="AU54" s="123"/>
      <c r="AV54" s="123"/>
      <c r="AW54" s="123"/>
      <c r="AX54" s="123"/>
      <c r="AY54" s="123"/>
      <c r="AZ54" s="132"/>
      <c r="BA54" s="123"/>
      <c r="BF54" s="134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0"/>
    </row>
    <row r="55" spans="1:83" s="133" customFormat="1">
      <c r="A55" s="128"/>
      <c r="B55" s="123"/>
      <c r="C55" s="123"/>
      <c r="D55" s="123"/>
      <c r="E55" s="123"/>
      <c r="F55" s="123"/>
      <c r="G55" s="123"/>
      <c r="H55" s="123"/>
      <c r="I55" s="129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23"/>
      <c r="AK55" s="123"/>
      <c r="AL55" s="123"/>
      <c r="AM55" s="123"/>
      <c r="AN55" s="123"/>
      <c r="AO55" s="123"/>
      <c r="AP55" s="123"/>
      <c r="AQ55" s="131"/>
      <c r="AR55" s="123"/>
      <c r="AS55" s="123"/>
      <c r="AT55" s="123"/>
      <c r="AU55" s="123"/>
      <c r="AV55" s="123"/>
      <c r="AW55" s="123"/>
      <c r="AX55" s="123"/>
      <c r="AY55" s="123"/>
      <c r="AZ55" s="132"/>
      <c r="BA55" s="123"/>
      <c r="BF55" s="134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0"/>
    </row>
    <row r="56" spans="1:83" s="133" customFormat="1">
      <c r="A56" s="128"/>
      <c r="B56" s="123"/>
      <c r="C56" s="123"/>
      <c r="D56" s="123"/>
      <c r="E56" s="123"/>
      <c r="F56" s="123"/>
      <c r="G56" s="123"/>
      <c r="H56" s="123"/>
      <c r="I56" s="129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23"/>
      <c r="AK56" s="123"/>
      <c r="AL56" s="123"/>
      <c r="AM56" s="123"/>
      <c r="AN56" s="123"/>
      <c r="AO56" s="123"/>
      <c r="AP56" s="123"/>
      <c r="AQ56" s="131"/>
      <c r="AR56" s="123"/>
      <c r="AS56" s="123"/>
      <c r="AT56" s="123"/>
      <c r="AU56" s="123"/>
      <c r="AV56" s="123"/>
      <c r="AW56" s="123"/>
      <c r="AX56" s="123"/>
      <c r="AY56" s="123"/>
      <c r="AZ56" s="132"/>
      <c r="BA56" s="123"/>
      <c r="BF56" s="134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0"/>
    </row>
    <row r="57" spans="1:83" s="133" customFormat="1">
      <c r="A57" s="128"/>
      <c r="B57" s="123"/>
      <c r="C57" s="123"/>
      <c r="D57" s="123"/>
      <c r="E57" s="123"/>
      <c r="F57" s="123"/>
      <c r="G57" s="123"/>
      <c r="H57" s="123"/>
      <c r="I57" s="129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23"/>
      <c r="AK57" s="123"/>
      <c r="AL57" s="123"/>
      <c r="AM57" s="123"/>
      <c r="AN57" s="123"/>
      <c r="AO57" s="123"/>
      <c r="AP57" s="123"/>
      <c r="AQ57" s="131"/>
      <c r="AR57" s="123"/>
      <c r="AS57" s="123"/>
      <c r="AT57" s="123"/>
      <c r="AU57" s="123"/>
      <c r="AV57" s="123"/>
      <c r="AW57" s="123"/>
      <c r="AX57" s="123"/>
      <c r="AY57" s="123"/>
      <c r="AZ57" s="132"/>
      <c r="BA57" s="123"/>
      <c r="BF57" s="134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0"/>
    </row>
    <row r="58" spans="1:83" s="133" customFormat="1">
      <c r="A58" s="128"/>
      <c r="B58" s="123"/>
      <c r="C58" s="123"/>
      <c r="D58" s="123"/>
      <c r="E58" s="123"/>
      <c r="F58" s="123"/>
      <c r="G58" s="123"/>
      <c r="H58" s="123"/>
      <c r="I58" s="129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23"/>
      <c r="AK58" s="123"/>
      <c r="AL58" s="123"/>
      <c r="AM58" s="123"/>
      <c r="AN58" s="123"/>
      <c r="AO58" s="123"/>
      <c r="AP58" s="123"/>
      <c r="AQ58" s="131"/>
      <c r="AR58" s="123"/>
      <c r="AS58" s="123"/>
      <c r="AT58" s="123"/>
      <c r="AU58" s="123"/>
      <c r="AV58" s="123"/>
      <c r="AW58" s="123"/>
      <c r="AX58" s="123"/>
      <c r="AY58" s="123"/>
      <c r="AZ58" s="132"/>
      <c r="BA58" s="123"/>
      <c r="BF58" s="134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0"/>
    </row>
    <row r="59" spans="1:83" s="133" customFormat="1">
      <c r="A59" s="128"/>
      <c r="B59" s="123"/>
      <c r="C59" s="123"/>
      <c r="D59" s="123"/>
      <c r="E59" s="123"/>
      <c r="F59" s="123"/>
      <c r="G59" s="123"/>
      <c r="H59" s="123"/>
      <c r="I59" s="129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23"/>
      <c r="AK59" s="123"/>
      <c r="AL59" s="123"/>
      <c r="AM59" s="123"/>
      <c r="AN59" s="123"/>
      <c r="AO59" s="123"/>
      <c r="AP59" s="123"/>
      <c r="AQ59" s="131"/>
      <c r="AR59" s="123"/>
      <c r="AS59" s="123"/>
      <c r="AT59" s="123"/>
      <c r="AU59" s="123"/>
      <c r="AV59" s="123"/>
      <c r="AW59" s="123"/>
      <c r="AX59" s="123"/>
      <c r="AY59" s="123"/>
      <c r="AZ59" s="132"/>
      <c r="BA59" s="123"/>
      <c r="BF59" s="134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0"/>
    </row>
    <row r="60" spans="1:83" s="133" customFormat="1">
      <c r="A60" s="128"/>
      <c r="B60" s="123"/>
      <c r="C60" s="123"/>
      <c r="D60" s="123"/>
      <c r="E60" s="123"/>
      <c r="F60" s="123"/>
      <c r="G60" s="123"/>
      <c r="H60" s="123"/>
      <c r="I60" s="129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23"/>
      <c r="AK60" s="123"/>
      <c r="AL60" s="123"/>
      <c r="AM60" s="123"/>
      <c r="AN60" s="123"/>
      <c r="AO60" s="123"/>
      <c r="AP60" s="123"/>
      <c r="AQ60" s="131"/>
      <c r="AR60" s="123"/>
      <c r="AS60" s="123"/>
      <c r="AT60" s="123"/>
      <c r="AU60" s="123"/>
      <c r="AV60" s="123"/>
      <c r="AW60" s="123"/>
      <c r="AX60" s="123"/>
      <c r="AY60" s="123"/>
      <c r="AZ60" s="132"/>
      <c r="BA60" s="123"/>
      <c r="BF60" s="134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0"/>
    </row>
  </sheetData>
  <mergeCells count="81">
    <mergeCell ref="CD6:CD9"/>
    <mergeCell ref="BJ7:BJ9"/>
    <mergeCell ref="BK7:BK9"/>
    <mergeCell ref="BL7:BL9"/>
    <mergeCell ref="BM7:BM9"/>
    <mergeCell ref="BN7:BN9"/>
    <mergeCell ref="BO7:BO9"/>
    <mergeCell ref="BP7:BP9"/>
    <mergeCell ref="BQ7:BQ9"/>
    <mergeCell ref="BR7:BR9"/>
    <mergeCell ref="BX6:BX9"/>
    <mergeCell ref="BY6:BY9"/>
    <mergeCell ref="BZ6:BZ9"/>
    <mergeCell ref="CA6:CA9"/>
    <mergeCell ref="CB6:CB9"/>
    <mergeCell ref="CC6:CC9"/>
    <mergeCell ref="BG6:BW6"/>
    <mergeCell ref="BS7:BS9"/>
    <mergeCell ref="BT7:BT9"/>
    <mergeCell ref="BU7:BU9"/>
    <mergeCell ref="BV7:BV9"/>
    <mergeCell ref="BH7:BH9"/>
    <mergeCell ref="BI7:BI9"/>
    <mergeCell ref="BW7:BW9"/>
    <mergeCell ref="BB8:BB9"/>
    <mergeCell ref="BC8:BC9"/>
    <mergeCell ref="BD8:BD9"/>
    <mergeCell ref="BE8:BE9"/>
    <mergeCell ref="AQ8:AR8"/>
    <mergeCell ref="AS8:AT8"/>
    <mergeCell ref="AU8:AV8"/>
    <mergeCell ref="AW8:AX8"/>
    <mergeCell ref="AZ8:AZ9"/>
    <mergeCell ref="BA8:BA9"/>
    <mergeCell ref="S8:S9"/>
    <mergeCell ref="T8:U8"/>
    <mergeCell ref="V8:W8"/>
    <mergeCell ref="AP8:AP9"/>
    <mergeCell ref="Z8:AA8"/>
    <mergeCell ref="AB8:AC8"/>
    <mergeCell ref="AD8:AE8"/>
    <mergeCell ref="AF8:AG8"/>
    <mergeCell ref="AH8:AI8"/>
    <mergeCell ref="AJ8:AJ9"/>
    <mergeCell ref="AK8:AK9"/>
    <mergeCell ref="AL8:AL9"/>
    <mergeCell ref="AM8:AM9"/>
    <mergeCell ref="AN8:AN9"/>
    <mergeCell ref="AO8:AO9"/>
    <mergeCell ref="AZ7:BE7"/>
    <mergeCell ref="BG7:BG9"/>
    <mergeCell ref="J6:Q7"/>
    <mergeCell ref="R6:S7"/>
    <mergeCell ref="T6:AI6"/>
    <mergeCell ref="AJ6:BE6"/>
    <mergeCell ref="BF6:BF9"/>
    <mergeCell ref="N8:N9"/>
    <mergeCell ref="O8:O9"/>
    <mergeCell ref="T7:W7"/>
    <mergeCell ref="X7:AC7"/>
    <mergeCell ref="AD7:AI7"/>
    <mergeCell ref="AJ7:AW7"/>
    <mergeCell ref="AY7:AY9"/>
    <mergeCell ref="X8:Y8"/>
    <mergeCell ref="J8:J9"/>
    <mergeCell ref="A4:AI4"/>
    <mergeCell ref="A6:A9"/>
    <mergeCell ref="B6:B9"/>
    <mergeCell ref="C6:C9"/>
    <mergeCell ref="D6:D9"/>
    <mergeCell ref="E6:E9"/>
    <mergeCell ref="F6:F9"/>
    <mergeCell ref="G6:H7"/>
    <mergeCell ref="I6:I9"/>
    <mergeCell ref="G8:G9"/>
    <mergeCell ref="H8:H9"/>
    <mergeCell ref="K8:K9"/>
    <mergeCell ref="L8:L9"/>
    <mergeCell ref="M8:M9"/>
    <mergeCell ref="P8:Q8"/>
    <mergeCell ref="R8:R9"/>
  </mergeCells>
  <pageMargins left="0.23622047244094491" right="0.23622047244094491" top="0.74803149606299213" bottom="0.74803149606299213" header="0.31496062992125984" footer="0.31496062992125984"/>
  <pageSetup paperSize="8" scale="4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T9.25</vt:lpstr>
      <vt:lpstr>T9.25!Print_Area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2025-10-22T14:49:56Z</dcterms:modified>
</cp:coreProperties>
</file>